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Domagoj\Documents\Web\Projekti\satnica-djakovacka.hr\web\zakup\"/>
    </mc:Choice>
  </mc:AlternateContent>
  <workbookProtection workbookPassword="DC7E" lockStructure="1"/>
  <bookViews>
    <workbookView xWindow="0" yWindow="0" windowWidth="21600" windowHeight="10550" tabRatio="741"/>
  </bookViews>
  <sheets>
    <sheet name="PONUDA" sheetId="16" r:id="rId1"/>
    <sheet name="IDENTIFIKACIJA" sheetId="1" r:id="rId2"/>
    <sheet name="GOSPODARSKI_PROGRAM" sheetId="2" r:id="rId3"/>
    <sheet name="PROGRAM_ZAKUP" sheetId="9" r:id="rId4"/>
    <sheet name="GOSPODARSKI POKAZATELJI" sheetId="10" r:id="rId5"/>
    <sheet name="BODOVI" sheetId="18" state="hidden" r:id="rId6"/>
    <sheet name="PRILOG" sheetId="17" state="hidden" r:id="rId7"/>
    <sheet name="POPISI" sheetId="19" state="hidden" r:id="rId8"/>
    <sheet name="ZAPOSL" sheetId="20" state="hidden" r:id="rId9"/>
    <sheet name="MEHANIZACIJA" sheetId="21" state="hidden" r:id="rId10"/>
  </sheets>
  <definedNames>
    <definedName name="BILJNA">GOSPODARSKI_PROGRAM!$A$17:$N$27</definedName>
    <definedName name="cjelina_pocetna">PONUDA!$E$10:$E$34</definedName>
    <definedName name="CVIJEĆE">PROGRAM_ZAKUP!$E$34:$E$38</definedName>
    <definedName name="EKO">GOSPODARSKI_PROGRAM!$J$8:$J$14</definedName>
    <definedName name="FINANC">POPISI!$J$2:$J$3</definedName>
    <definedName name="FIZIČKA">IDENTIFIKACIJA!$A$14:$B$18</definedName>
    <definedName name="INT">GOSPODARSKI_PROGRAM!$L$8:$L$14</definedName>
    <definedName name="MEHANIZACIJA">GOSPODARSKI_PROGRAM!$A$44:$G$49</definedName>
    <definedName name="NOPVOZAPOSL">PROGRAM_ZAKUP!$E$71:$E$74</definedName>
    <definedName name="OBJEKT">POPISI!$B$2:$B$10</definedName>
    <definedName name="OBJEKTI">GOSPODARSKI_PROGRAM!$A$52:$H$57</definedName>
    <definedName name="pocetna">PONUDA!$H$10:$H$34</definedName>
    <definedName name="_xlnm.Print_Area" localSheetId="5">BODOVI!$A$1:$D$42</definedName>
    <definedName name="_xlnm.Print_Area" localSheetId="2">GOSPODARSKI_PROGRAM!$A$2:$N$68</definedName>
    <definedName name="_xlnm.Print_Area" localSheetId="1">IDENTIFIKACIJA!$A$1:$B$44</definedName>
    <definedName name="_xlnm.Print_Area" localSheetId="0">PONUDA!$A$2:$J$41</definedName>
    <definedName name="_xlnm.Print_Area" localSheetId="3">PROGRAM_ZAKUP!$A$1:$G$76</definedName>
    <definedName name="ponudena">PONUDA!$J$35</definedName>
    <definedName name="POVRĆE">PROGRAM_ZAKUP!$F$11:$F$15</definedName>
    <definedName name="PRAVNA">IDENTIFIKACIJA!$A$19:$B$25</definedName>
    <definedName name="PRO_MAS">PROGRAM_ZAKUP!$B$28:$F$32</definedName>
    <definedName name="PRO_POV">PROGRAM_ZAKUP!$B$10:$C$15</definedName>
    <definedName name="PRO_STO">PROGRAM_ZAKUP!$B$4:$C$9</definedName>
    <definedName name="PRO_VIN">PROGRAM_ZAKUP!$B$23:$F$27</definedName>
    <definedName name="PRO_VOĆ">PROGRAM_ZAKUP!$B$16:$F$22</definedName>
    <definedName name="PRODAJA">POPISI!$C$2:$C$5</definedName>
    <definedName name="sjemenarska">GOSPODARSKI_PROGRAM!$M$15</definedName>
    <definedName name="SJEMENSKA">GOSPODARSKI_PROGRAM!$M$8:$M$13</definedName>
    <definedName name="snaga">GOSPODARSKI_PROGRAM!$C$46:$C$49</definedName>
    <definedName name="SPREMA">POPISI!$E$2:$E$7</definedName>
    <definedName name="STOČARSKA">GOSPODARSKI_PROGRAM!$A$29:$H$41</definedName>
    <definedName name="STOKA">GOSPODARSKI_PROGRAM!$C$31:$C$41</definedName>
    <definedName name="STROJ">POPISI!$A$2:$A$3</definedName>
    <definedName name="TRAJNI_NASAD">GOSPODARSKI_PROGRAM!$B$10:$B$13</definedName>
    <definedName name="UDALJENOST">POPISI!$B$16:$B$21</definedName>
    <definedName name="UNAPRIJEĐENJE">POPISI!$C$16:$C$18</definedName>
    <definedName name="vrsta">POPISI!$D$2:$D$9</definedName>
    <definedName name="ZAPOSLENI">GOSPODARSKI_PROGRAM!$H$61:$H$64</definedName>
    <definedName name="ZEMLJA">GOSPODARSKI_PROGRAM!$B$8:$B$14</definedName>
    <definedName name="ZEMLJIŠTE">GOSPODARSKI_PROGRAM!$B$8:$B$13</definedName>
  </definedNames>
  <calcPr calcId="171027"/>
</workbook>
</file>

<file path=xl/calcChain.xml><?xml version="1.0" encoding="utf-8"?>
<calcChain xmlns="http://schemas.openxmlformats.org/spreadsheetml/2006/main">
  <c r="IR23" i="2" l="1"/>
  <c r="C12" i="18"/>
  <c r="D12" i="18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10" i="16"/>
  <c r="I35" i="16"/>
  <c r="I7" i="9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10" i="16"/>
  <c r="IU20" i="2"/>
  <c r="IT20" i="2"/>
  <c r="IS20" i="2"/>
  <c r="IR20" i="2"/>
  <c r="G11" i="21"/>
  <c r="B5" i="20"/>
  <c r="E5" i="20"/>
  <c r="C13" i="18"/>
  <c r="D13" i="18"/>
  <c r="D26" i="20"/>
  <c r="D25" i="20"/>
  <c r="D23" i="20"/>
  <c r="D24" i="20"/>
  <c r="D3" i="20"/>
  <c r="D21" i="20"/>
  <c r="D22" i="20"/>
  <c r="D4" i="20"/>
  <c r="B10" i="10"/>
  <c r="C32" i="2"/>
  <c r="F11" i="21"/>
  <c r="L3" i="21"/>
  <c r="I2" i="21"/>
  <c r="IR1" i="18"/>
  <c r="IQ3" i="18"/>
  <c r="C5" i="20"/>
  <c r="IS12" i="9"/>
  <c r="IU21" i="2"/>
  <c r="IT21" i="2"/>
  <c r="IS21" i="2"/>
  <c r="IR21" i="2"/>
  <c r="C3" i="18"/>
  <c r="C21" i="18"/>
  <c r="D21" i="18"/>
  <c r="G28" i="10"/>
  <c r="G24" i="10"/>
  <c r="F24" i="10"/>
  <c r="F28" i="10"/>
  <c r="F36" i="10"/>
  <c r="E24" i="10"/>
  <c r="E28" i="10"/>
  <c r="E36" i="10"/>
  <c r="D24" i="10"/>
  <c r="D28" i="10"/>
  <c r="D36" i="10"/>
  <c r="C24" i="10"/>
  <c r="C28" i="10"/>
  <c r="B24" i="10"/>
  <c r="B28" i="10"/>
  <c r="B14" i="10"/>
  <c r="B16" i="10"/>
  <c r="G25" i="21"/>
  <c r="G23" i="21"/>
  <c r="G21" i="21"/>
  <c r="G19" i="21"/>
  <c r="G18" i="21"/>
  <c r="G16" i="21"/>
  <c r="G14" i="21"/>
  <c r="G7" i="21"/>
  <c r="G5" i="21"/>
  <c r="G2" i="21"/>
  <c r="F13" i="21"/>
  <c r="F25" i="21"/>
  <c r="F7" i="21"/>
  <c r="F2" i="21"/>
  <c r="C15" i="18"/>
  <c r="D31" i="18"/>
  <c r="D32" i="18"/>
  <c r="B41" i="1"/>
  <c r="B37" i="18"/>
  <c r="C2" i="18"/>
  <c r="C1" i="18"/>
  <c r="D19" i="18"/>
  <c r="C20" i="18"/>
  <c r="D20" i="18"/>
  <c r="C18" i="18"/>
  <c r="D18" i="18"/>
  <c r="E25" i="17"/>
  <c r="C25" i="17"/>
  <c r="C16" i="18"/>
  <c r="D16" i="18"/>
  <c r="C10" i="18"/>
  <c r="D10" i="18"/>
  <c r="IS5" i="9"/>
  <c r="IS11" i="9"/>
  <c r="C25" i="18"/>
  <c r="D25" i="18" s="1"/>
  <c r="C22" i="18"/>
  <c r="D22" i="18"/>
  <c r="C9" i="20"/>
  <c r="B4" i="20"/>
  <c r="B3" i="20"/>
  <c r="C3" i="20"/>
  <c r="C4" i="20"/>
  <c r="C2" i="20"/>
  <c r="G2" i="20"/>
  <c r="G5" i="20"/>
  <c r="B9" i="10"/>
  <c r="B35" i="10"/>
  <c r="C35" i="10"/>
  <c r="D35" i="10"/>
  <c r="E35" i="10"/>
  <c r="F35" i="10"/>
  <c r="G35" i="10"/>
  <c r="G36" i="10"/>
  <c r="I42" i="9"/>
  <c r="L60" i="9"/>
  <c r="L62" i="9"/>
  <c r="L61" i="9"/>
  <c r="B8" i="2"/>
  <c r="C24" i="18"/>
  <c r="D24" i="18"/>
  <c r="B9" i="2"/>
  <c r="B10" i="2"/>
  <c r="B11" i="2"/>
  <c r="B12" i="2"/>
  <c r="B15" i="2"/>
  <c r="B13" i="2"/>
  <c r="B14" i="2"/>
  <c r="C15" i="2"/>
  <c r="D15" i="2"/>
  <c r="G15" i="2"/>
  <c r="J15" i="2"/>
  <c r="K15" i="2"/>
  <c r="M15" i="2"/>
  <c r="Y20" i="2"/>
  <c r="Z20" i="2"/>
  <c r="Y21" i="2"/>
  <c r="Z21" i="2"/>
  <c r="Y22" i="2"/>
  <c r="IS23" i="2"/>
  <c r="IT23" i="2"/>
  <c r="IU23" i="2"/>
  <c r="C11" i="18"/>
  <c r="Y23" i="2"/>
  <c r="Z23" i="2"/>
  <c r="W27" i="2"/>
  <c r="C31" i="2"/>
  <c r="C33" i="2"/>
  <c r="C34" i="2"/>
  <c r="C35" i="2"/>
  <c r="C36" i="2"/>
  <c r="C9" i="18"/>
  <c r="D9" i="18"/>
  <c r="C37" i="2"/>
  <c r="C38" i="2"/>
  <c r="C39" i="2"/>
  <c r="C40" i="2"/>
  <c r="C41" i="2"/>
  <c r="V46" i="2"/>
  <c r="G10" i="1"/>
  <c r="J35" i="16"/>
  <c r="M4" i="21"/>
  <c r="F12" i="21"/>
  <c r="V31" i="2"/>
  <c r="M5" i="21"/>
  <c r="IR3" i="18"/>
  <c r="B36" i="10"/>
  <c r="B2" i="20"/>
  <c r="E2" i="20"/>
  <c r="C36" i="10"/>
  <c r="F16" i="21"/>
  <c r="F23" i="21"/>
  <c r="F14" i="21"/>
  <c r="F8" i="21"/>
  <c r="C6" i="20"/>
  <c r="F3" i="21"/>
  <c r="I3" i="21"/>
  <c r="M3" i="21"/>
  <c r="D11" i="18"/>
  <c r="IS3" i="18"/>
  <c r="D28" i="18"/>
  <c r="D29" i="18"/>
  <c r="I5" i="21"/>
  <c r="M6" i="21"/>
  <c r="E4" i="20"/>
  <c r="G4" i="20"/>
  <c r="E3" i="20"/>
  <c r="G3" i="20"/>
  <c r="B17" i="10"/>
  <c r="G6" i="20"/>
  <c r="F6" i="21"/>
  <c r="I4" i="21"/>
  <c r="M7" i="21"/>
  <c r="M8" i="21"/>
  <c r="I9" i="21" s="1"/>
  <c r="C17" i="18" s="1"/>
  <c r="D17" i="18" s="1"/>
  <c r="D26" i="18" s="1"/>
  <c r="D34" i="18" s="1"/>
  <c r="F18" i="21"/>
  <c r="F21" i="21"/>
  <c r="I6" i="21"/>
  <c r="F19" i="21"/>
  <c r="E6" i="20"/>
  <c r="AB1" i="20"/>
  <c r="F27" i="21"/>
  <c r="I13" i="21"/>
  <c r="E9" i="20"/>
  <c r="G8" i="10"/>
  <c r="G9" i="10"/>
  <c r="B19" i="10"/>
  <c r="C23" i="18" s="1"/>
  <c r="D23" i="18" s="1"/>
  <c r="I8" i="21"/>
  <c r="C10" i="20"/>
  <c r="D15" i="18"/>
  <c r="G7" i="10"/>
  <c r="AB2" i="20"/>
  <c r="AA2" i="20"/>
  <c r="AA1" i="20"/>
</calcChain>
</file>

<file path=xl/sharedStrings.xml><?xml version="1.0" encoding="utf-8"?>
<sst xmlns="http://schemas.openxmlformats.org/spreadsheetml/2006/main" count="564" uniqueCount="433">
  <si>
    <t>broj</t>
  </si>
  <si>
    <t>datum</t>
  </si>
  <si>
    <t>DIONICI</t>
  </si>
  <si>
    <t>II. OPIS GOSPODARSTVA</t>
  </si>
  <si>
    <t>Oranice</t>
  </si>
  <si>
    <t>Livade i pašnjaci</t>
  </si>
  <si>
    <t>Voćnjaci</t>
  </si>
  <si>
    <t>Ostalo</t>
  </si>
  <si>
    <t>Ratarske kulture</t>
  </si>
  <si>
    <t>Povrće</t>
  </si>
  <si>
    <t>Voće</t>
  </si>
  <si>
    <t>Mlječne krave</t>
  </si>
  <si>
    <t>Krmače</t>
  </si>
  <si>
    <t>Tovljenici</t>
  </si>
  <si>
    <t>Ovce</t>
  </si>
  <si>
    <t>Koze</t>
  </si>
  <si>
    <t>Koke nesilice</t>
  </si>
  <si>
    <t>Tovni pilići</t>
  </si>
  <si>
    <t>Konji</t>
  </si>
  <si>
    <t>Magarci</t>
  </si>
  <si>
    <t>Sezonska radna snaga</t>
  </si>
  <si>
    <t>II.I. ZEMLJIŠTE</t>
  </si>
  <si>
    <t>Vinogradi</t>
  </si>
  <si>
    <t>Maslinici</t>
  </si>
  <si>
    <t>TIPOVI PROIZVODNJE</t>
  </si>
  <si>
    <t>OBLIK VLASNIŠTVA</t>
  </si>
  <si>
    <t>VLASTITO</t>
  </si>
  <si>
    <t>DRŽAVNO U ZAKUPU</t>
  </si>
  <si>
    <t>POČETAK ZAKUPA</t>
  </si>
  <si>
    <t>TRAJANJE ZAKUPA</t>
  </si>
  <si>
    <t>PRIVATNO U ZAKUPU</t>
  </si>
  <si>
    <t>CERTIFICIRANA EKOLOŠKA PROIZVODNJA</t>
  </si>
  <si>
    <t>EKOLOŠKA PROIZVODNJA U PRIJELAZNOM RAZDOBLJU</t>
  </si>
  <si>
    <t>SJEMENSKA PROIZVODNJA</t>
  </si>
  <si>
    <t>ha</t>
  </si>
  <si>
    <t>godine</t>
  </si>
  <si>
    <t>STAROST NASADA (PROSJEK)</t>
  </si>
  <si>
    <t>II.II. PROIZVODNJA</t>
  </si>
  <si>
    <t>II.II.I BILJA PROIZVODNJA</t>
  </si>
  <si>
    <t>II.II.II STOČARSKA PROIZVODNJA</t>
  </si>
  <si>
    <t>UKUPNO (ha)</t>
  </si>
  <si>
    <t>UKUPNI BROJ GRLA/GLAVA</t>
  </si>
  <si>
    <t>II.III MEHANIZACIJA</t>
  </si>
  <si>
    <t>Vrsta stroja - vozila</t>
  </si>
  <si>
    <t>VLASNIŠTVO</t>
  </si>
  <si>
    <t>GODINA PROIZVODNJE</t>
  </si>
  <si>
    <t>PLAĆENO U POTPUNOSTI</t>
  </si>
  <si>
    <t>LEASING DO GODINE</t>
  </si>
  <si>
    <t>KREDIT DO GODINE</t>
  </si>
  <si>
    <t>II.IV. OBJEKTI</t>
  </si>
  <si>
    <t>VRSTA</t>
  </si>
  <si>
    <t>GODINA IZGRADNJE</t>
  </si>
  <si>
    <t>OBJEKT LEGALIZIRAN</t>
  </si>
  <si>
    <t>U ZAKUPU</t>
  </si>
  <si>
    <t>GODINA ZAKUPA</t>
  </si>
  <si>
    <t>II.V. ZAPOSLENICI</t>
  </si>
  <si>
    <t>BROJ</t>
  </si>
  <si>
    <t>Zaposleni na određeno</t>
  </si>
  <si>
    <t>GODIŠNJA PROIZVODNJA</t>
  </si>
  <si>
    <t>t/hl</t>
  </si>
  <si>
    <t>ZAŠTITA GP</t>
  </si>
  <si>
    <t>SKLADIŠNI KAPACITET</t>
  </si>
  <si>
    <t>SKLADIŠTE / PODRUM REGISTRIRAN</t>
  </si>
  <si>
    <t>DA/NE</t>
  </si>
  <si>
    <t>Stručna sprema</t>
  </si>
  <si>
    <t>Broj osoba</t>
  </si>
  <si>
    <t>Novo zapošljavanje</t>
  </si>
  <si>
    <t>Izvor financiranja</t>
  </si>
  <si>
    <t>Iznos</t>
  </si>
  <si>
    <t>Vrsta investicije</t>
  </si>
  <si>
    <t>Cijena</t>
  </si>
  <si>
    <t>Vrsta</t>
  </si>
  <si>
    <t>Postojeća mehanizacija</t>
  </si>
  <si>
    <t>Potrebna mehanizacija</t>
  </si>
  <si>
    <t>3.</t>
  </si>
  <si>
    <t xml:space="preserve">Tehničko-tehnološke karakteristike proizvodnje </t>
  </si>
  <si>
    <t>Broj stabala</t>
  </si>
  <si>
    <t>Sorta</t>
  </si>
  <si>
    <t>Oblik uzgoja</t>
  </si>
  <si>
    <t xml:space="preserve">Vrsta </t>
  </si>
  <si>
    <t>Kultura</t>
  </si>
  <si>
    <t>Površina</t>
  </si>
  <si>
    <t>Broj cjepova</t>
  </si>
  <si>
    <t>Količina</t>
  </si>
  <si>
    <t>RATARSKA PROIZVODNJA</t>
  </si>
  <si>
    <t>POVRĆARSKA PROIZVODNJA</t>
  </si>
  <si>
    <t>VOĆARSKA PROIZVODNJA</t>
  </si>
  <si>
    <t>VINOGRADARSTVO</t>
  </si>
  <si>
    <t>MASLINARSTVO</t>
  </si>
  <si>
    <t>OSTALO</t>
  </si>
  <si>
    <t>III.PLANIRANA PROIZVODNJA</t>
  </si>
  <si>
    <t>EKONOMSKI POKAZATELJI</t>
  </si>
  <si>
    <t>Račun dobiti i gubitaka</t>
  </si>
  <si>
    <t>1. Ukupni prihodi</t>
  </si>
  <si>
    <t>1.1. Prihodi od prodaje</t>
  </si>
  <si>
    <t>1.2. Prihodi od subvencija</t>
  </si>
  <si>
    <t>1.3. Ostali prihodi</t>
  </si>
  <si>
    <t>2. Ukupni rashodi</t>
  </si>
  <si>
    <t>2.1.  Poslovni rashodi</t>
  </si>
  <si>
    <t>2.1.1.Materijalni i nematerijalni troškovi</t>
  </si>
  <si>
    <t>2.1.2. Troškovi osoblja</t>
  </si>
  <si>
    <t>2.1.3. Amortizacija</t>
  </si>
  <si>
    <t>2.2. Financijski rashodi</t>
  </si>
  <si>
    <t>2.2.1. Troškovi kamata</t>
  </si>
  <si>
    <t>3. Dobit prije oporezivanja</t>
  </si>
  <si>
    <t>4. Porez na dobit/dohodak</t>
  </si>
  <si>
    <t>5. Dobit nakon oporezivanja</t>
  </si>
  <si>
    <t>Plan poslovanja u narednom razdoblju</t>
  </si>
  <si>
    <t>Financijski tok</t>
  </si>
  <si>
    <t>PRIMITCI</t>
  </si>
  <si>
    <t>2. Izvori financiranja</t>
  </si>
  <si>
    <t>2.1. Prihod od prodaje proizvoda</t>
  </si>
  <si>
    <t>2.2. Krediti</t>
  </si>
  <si>
    <t>2.3. Potpore</t>
  </si>
  <si>
    <t>IZDATCI</t>
  </si>
  <si>
    <t xml:space="preserve">1. Ulaganja u dugotrajnu imovinu </t>
  </si>
  <si>
    <t xml:space="preserve">2. Ulaganja u kratkotrajnu imovinu </t>
  </si>
  <si>
    <t>3. Ostali troškovi</t>
  </si>
  <si>
    <t>4. Troškovi za zaposlenike</t>
  </si>
  <si>
    <t>5. Porez na dobit/dohodak</t>
  </si>
  <si>
    <t>6. Anuitet kredita</t>
  </si>
  <si>
    <t>NETO PRIMITCI</t>
  </si>
  <si>
    <t>PROIZVODNJA MLIJEKA/MESA</t>
  </si>
  <si>
    <t>Pasmina</t>
  </si>
  <si>
    <t>Broj grla</t>
  </si>
  <si>
    <t>1.</t>
  </si>
  <si>
    <t>2.</t>
  </si>
  <si>
    <t>Sjemenska proizvodnja</t>
  </si>
  <si>
    <t>Ugovor o prodaji</t>
  </si>
  <si>
    <t>Po NKD poljoprivreda je primarna djelatnost</t>
  </si>
  <si>
    <t>VREDNOVANJE GOSPODARSKOG PROGRAMA KORIŠTENJA POLJOPRIVREDNOG ZEMLJIŠTA U VLASNIŠTVU DRŽAVE KOJE SE UZIMA U ZAKUP</t>
  </si>
  <si>
    <t>R.br.</t>
  </si>
  <si>
    <t>Kriterij</t>
  </si>
  <si>
    <t>Trajni nasadi</t>
  </si>
  <si>
    <t xml:space="preserve">4. </t>
  </si>
  <si>
    <t xml:space="preserve">Zaposleni radnici </t>
  </si>
  <si>
    <t>Novozaposleni</t>
  </si>
  <si>
    <t>Neposredno</t>
  </si>
  <si>
    <t>11.</t>
  </si>
  <si>
    <t>12.</t>
  </si>
  <si>
    <t>Stručna sprema (poljoprivredna)</t>
  </si>
  <si>
    <t>Mr.sc.</t>
  </si>
  <si>
    <t>14.</t>
  </si>
  <si>
    <t>II.VI. PRODAJA</t>
  </si>
  <si>
    <t>Ostalo /trajni nasadi/</t>
  </si>
  <si>
    <t>Postoji li osigurano tržište?</t>
  </si>
  <si>
    <t>Registrirani kapacitet manji od proizvodnje</t>
  </si>
  <si>
    <t>Registrirani kapacitet veći od proizvodnje</t>
  </si>
  <si>
    <t>Cvijeće</t>
  </si>
  <si>
    <t>Udaljenost traženog zemljišta od tehničko-tehnološke cjeline</t>
  </si>
  <si>
    <t>Poslovanje u prethodnom razdoblju (godina N-1)</t>
  </si>
  <si>
    <t>Godina N</t>
  </si>
  <si>
    <t>N+1</t>
  </si>
  <si>
    <t>N+2</t>
  </si>
  <si>
    <t>N+3</t>
  </si>
  <si>
    <t>Aromatično i ljekovito bilje</t>
  </si>
  <si>
    <t>UKUPNO</t>
  </si>
  <si>
    <t>Sustav proizvodnje</t>
  </si>
  <si>
    <t>BROJ PRIJAVE (popunjava Agencija za poljoprivredno zemljište)</t>
  </si>
  <si>
    <t>ZEMLJIŠTE 
(potrebno je upisati svo korišteno poljoprivredno zemljište)</t>
  </si>
  <si>
    <t>Broj čestice</t>
  </si>
  <si>
    <t>Površina (ha)</t>
  </si>
  <si>
    <t>Ponuda (kn)</t>
  </si>
  <si>
    <t>Redni broj</t>
  </si>
  <si>
    <t>Zaposleni na neodređeno (uključujući članove obitelji u poljoprivrednom mirovinskom sustavu)</t>
  </si>
  <si>
    <t>Registrirani kapacitet dostatan</t>
  </si>
  <si>
    <t>Nema registriranog kapaciteta</t>
  </si>
  <si>
    <t>Broj Uvjetnih grla (UG)</t>
  </si>
  <si>
    <t>broj UG</t>
  </si>
  <si>
    <t>sumac</t>
  </si>
  <si>
    <t>ratar</t>
  </si>
  <si>
    <t>povrć</t>
  </si>
  <si>
    <t>voć</t>
  </si>
  <si>
    <t>OSTALA PROIZVODNJA U POSTOCIMA (procjena)</t>
  </si>
  <si>
    <t>POSTOTAK</t>
  </si>
  <si>
    <t>TRAJANJE ZAKUPA (u godinama)</t>
  </si>
  <si>
    <t>KOLIČINA</t>
  </si>
  <si>
    <t>SNAGA (KW) (raspon)</t>
  </si>
  <si>
    <t>KAPACITET (t/hl)</t>
  </si>
  <si>
    <t>N+4</t>
  </si>
  <si>
    <t>N+5</t>
  </si>
  <si>
    <t>Glavna knjiga</t>
  </si>
  <si>
    <t>Potrebne investicije za planirane investicije</t>
  </si>
  <si>
    <t>Katastarska općina</t>
  </si>
  <si>
    <t>EKOLOŠKA PROIZVODNJA</t>
  </si>
  <si>
    <t>INTEGRIRANA PROIZVODNJA</t>
  </si>
  <si>
    <t>BROJ UPISNIKA EKOLOŠKE PROIZVODNJE</t>
  </si>
  <si>
    <t>BROJ UPISNIKA INTEGRIRANE PROIZVODNJE</t>
  </si>
  <si>
    <t>II.V.I VRSTA</t>
  </si>
  <si>
    <t>III.II. STOČARSKA PROIZVODNJA</t>
  </si>
  <si>
    <t>III.I. BILJNA PROIZVODNJA</t>
  </si>
  <si>
    <t>OGP br.1</t>
  </si>
  <si>
    <t>OGP br. 5.</t>
  </si>
  <si>
    <t>Plemenita loza - stolni kultivari</t>
  </si>
  <si>
    <t>Plemenita loza - vinski kultivari</t>
  </si>
  <si>
    <t>Prilog I.</t>
  </si>
  <si>
    <t>Prilog I.  OGP br. 3</t>
  </si>
  <si>
    <t>Prilog I.  OGP br. 4</t>
  </si>
  <si>
    <t>Proizvodno-tehnološka cjelina</t>
  </si>
  <si>
    <t xml:space="preserve">            ZK Odjel:</t>
  </si>
  <si>
    <t>OIB:</t>
  </si>
  <si>
    <t>MIBPG:</t>
  </si>
  <si>
    <t>I. IDENTIFIKACIJA  PODNOSITELJA PONUDE</t>
  </si>
  <si>
    <t>BROJ ČLANOVA KOJIMA JE POLJOPRIVREDA OSNOVNA DJELATNOST*</t>
  </si>
  <si>
    <t>I.II. OBRT</t>
  </si>
  <si>
    <t>I.III. PRAVNE OSOBE</t>
  </si>
  <si>
    <t>I.I. OPG</t>
  </si>
  <si>
    <t>NAZIV OBRTA</t>
  </si>
  <si>
    <t>MIBPG</t>
  </si>
  <si>
    <t>DATUM UPISA</t>
  </si>
  <si>
    <t>NOSITELJ</t>
  </si>
  <si>
    <t>BROJ ČLANOVA OPG-a (broj ZAPOSLENIKA)</t>
  </si>
  <si>
    <t>NOSITELJ ILI ČLAN S POLJOPRIVREDNOM STRUKOM</t>
  </si>
  <si>
    <t>PRIMARNA VRSTA PROIZVODNJE (najznačajnija)</t>
  </si>
  <si>
    <t>OBRT</t>
  </si>
  <si>
    <t>MBO</t>
  </si>
  <si>
    <t>U SUSTAVU PDV-a</t>
  </si>
  <si>
    <t>MB</t>
  </si>
  <si>
    <t>VLASNIK/CI</t>
  </si>
  <si>
    <t>DIREKTOR</t>
  </si>
  <si>
    <t>DATUM REGISTRACIJE</t>
  </si>
  <si>
    <t>POLJOPRIVREDA  PREMA NKD-U UPISANA KAO DJELATNOST</t>
  </si>
  <si>
    <t>OSOBA ZA KONTAKT</t>
  </si>
  <si>
    <t>SJEDIŠTE</t>
  </si>
  <si>
    <t>ADRESA</t>
  </si>
  <si>
    <t>KONTAKT TELEFON</t>
  </si>
  <si>
    <t>KONTAKT E-MAIL</t>
  </si>
  <si>
    <t>Tov goveda</t>
  </si>
  <si>
    <t>Telad</t>
  </si>
  <si>
    <t>Prilog I.        OGP br. 2</t>
  </si>
  <si>
    <t>OIB*</t>
  </si>
  <si>
    <t>KONTAKT PODACI</t>
  </si>
  <si>
    <t>* Transakcija ZMO br. 117</t>
  </si>
  <si>
    <t>Početna cijena (kn) proizvodno - tehnološke cjeline</t>
  </si>
  <si>
    <t>Početna cijena (kn) čestice</t>
  </si>
  <si>
    <t>Naziv:</t>
  </si>
  <si>
    <t>Prirast (kg) / mlijeko (l) / jaja (kom)</t>
  </si>
  <si>
    <t>kg/l/broj</t>
  </si>
  <si>
    <t xml:space="preserve">      Prilog II.a   VREDNOVANJE</t>
  </si>
  <si>
    <t>SPECIFIČNI BODOVI</t>
  </si>
  <si>
    <t>Sastavnica</t>
  </si>
  <si>
    <t>Vrednovanje sastavnica</t>
  </si>
  <si>
    <t>Max bodova</t>
  </si>
  <si>
    <t>Držanje stoke bez odgovajućeg zemljišta</t>
  </si>
  <si>
    <t>&gt; 4,00 UG/ha</t>
  </si>
  <si>
    <t>3,01 - 4,00 UG/ha</t>
  </si>
  <si>
    <t>2,00 - 3,00 UG/ha</t>
  </si>
  <si>
    <t>&lt; 2,00 UG/ha</t>
  </si>
  <si>
    <t>Registriran objekt za skladištenje/ doradu/ preradu većeg kapaciteta od proizvodnje</t>
  </si>
  <si>
    <t xml:space="preserve">Registriran objekt za skladištenje/ doradu/ preradu odgovarajućeg kapaciteta </t>
  </si>
  <si>
    <t>Postojeći nasad bez skladištenja/ dorade/ prerade</t>
  </si>
  <si>
    <t>Početnici</t>
  </si>
  <si>
    <t>4.</t>
  </si>
  <si>
    <t>Povrćarstvo, cvjećarstvo</t>
  </si>
  <si>
    <t>Povećanje proizvodnje</t>
  </si>
  <si>
    <t>Unaprjeđenje tehnologije</t>
  </si>
  <si>
    <t>5.</t>
  </si>
  <si>
    <t>Ratarstvo i ostalo (hrana)</t>
  </si>
  <si>
    <t>PODNOSITELJ MOŽE OSTVARITI BODOVE PO SAMO JEDNOM OD GORE NAVEDENIH PET KRITERIJA (MAKSIMALNO 20 BODOVA)</t>
  </si>
  <si>
    <t>OPĆI BODOVI</t>
  </si>
  <si>
    <t>6.</t>
  </si>
  <si>
    <t>Zaposleni radnici</t>
  </si>
  <si>
    <r>
      <rPr>
        <sz val="8"/>
        <rFont val="Calibri"/>
        <family val="2"/>
        <charset val="238"/>
      </rPr>
      <t>≥</t>
    </r>
    <r>
      <rPr>
        <sz val="8"/>
        <rFont val="Arial"/>
        <family val="2"/>
        <charset val="238"/>
      </rPr>
      <t xml:space="preserve">100% </t>
    </r>
  </si>
  <si>
    <t>&lt;(-20%)</t>
  </si>
  <si>
    <t>(-20%) - (-30%)</t>
  </si>
  <si>
    <t>&gt; (-30%)</t>
  </si>
  <si>
    <t>7.</t>
  </si>
  <si>
    <t>1</t>
  </si>
  <si>
    <t>8.</t>
  </si>
  <si>
    <t>Posjedovanje potrebne mehanizacije</t>
  </si>
  <si>
    <t>Kupnja</t>
  </si>
  <si>
    <t>Tehničko-tehnološka cjelina (objekti ili zemljište)</t>
  </si>
  <si>
    <t>OBJEKTI</t>
  </si>
  <si>
    <t>Objekti udaljeni &gt; 10,00 km</t>
  </si>
  <si>
    <t>ZEMLJIŠTE</t>
  </si>
  <si>
    <r>
      <rPr>
        <sz val="8"/>
        <rFont val="Calibri"/>
        <family val="2"/>
        <charset val="238"/>
      </rPr>
      <t>≤</t>
    </r>
    <r>
      <rPr>
        <sz val="8"/>
        <rFont val="Arial"/>
        <family val="2"/>
        <charset val="238"/>
      </rPr>
      <t xml:space="preserve"> 10,00 km</t>
    </r>
  </si>
  <si>
    <t>&gt; 10 km</t>
  </si>
  <si>
    <t>10.</t>
  </si>
  <si>
    <t>Registrirano sjedište ili objekt na području JLS za koju se raspisuje javni poziv ili susjedne JLS</t>
  </si>
  <si>
    <t xml:space="preserve">Osigurano tržište za proizvode </t>
  </si>
  <si>
    <t>Izravna prodaja</t>
  </si>
  <si>
    <t>Bavljenje poljoprivredom kao primarnom djelatnošću</t>
  </si>
  <si>
    <t>Više osoba u OPG-u ili obrtu kojima je poljoprivreda primarna djelatnost</t>
  </si>
  <si>
    <t>Nositelj OPG-a ili vlasnik obrta kojem je poljoprivreda primarna djelatnost</t>
  </si>
  <si>
    <t>13.</t>
  </si>
  <si>
    <t>Dr.sc.</t>
  </si>
  <si>
    <t>VSS</t>
  </si>
  <si>
    <t>VŠS</t>
  </si>
  <si>
    <t>SSS</t>
  </si>
  <si>
    <t>Ekonomski pokazatelji</t>
  </si>
  <si>
    <t>15.</t>
  </si>
  <si>
    <t>Ekološka i / ili integrirana proizvodnja</t>
  </si>
  <si>
    <t xml:space="preserve">Ekološka </t>
  </si>
  <si>
    <t>Integrirana</t>
  </si>
  <si>
    <t>16.</t>
  </si>
  <si>
    <t>Broj godina u Upisniku</t>
  </si>
  <si>
    <t>&gt; 2</t>
  </si>
  <si>
    <r>
      <rPr>
        <sz val="8"/>
        <rFont val="Calibri"/>
        <family val="2"/>
        <charset val="238"/>
      </rPr>
      <t>≤</t>
    </r>
    <r>
      <rPr>
        <sz val="8"/>
        <rFont val="Arial"/>
        <family val="2"/>
        <charset val="238"/>
      </rPr>
      <t xml:space="preserve"> 2</t>
    </r>
  </si>
  <si>
    <t>PODNOSITELJ MOŽE OSTVARITI BODOVE PO SVIM KRITERIJIMA NAVEDENIM POD OPĆIM BODOVIMA (MAKSIMALNO 40 BODOVA)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</si>
  <si>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</si>
  <si>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STANJE</t>
  </si>
  <si>
    <t>OCJENA</t>
  </si>
  <si>
    <t>Držanje stoke bez odgovarajućeg zemljišta</t>
  </si>
  <si>
    <t>9.</t>
  </si>
  <si>
    <t>Osigurano tržište za proizvode</t>
  </si>
  <si>
    <t>Tehničko-tehnološka cjelina (objekt ili zemljište)</t>
  </si>
  <si>
    <t>Ekološka i/ili integrirana proizvodnja</t>
  </si>
  <si>
    <t>PRODAJA</t>
  </si>
  <si>
    <t>radnik</t>
  </si>
  <si>
    <t>Traktor</t>
  </si>
  <si>
    <t>Staja</t>
  </si>
  <si>
    <t>Stoka</t>
  </si>
  <si>
    <t>UGOVOR O PRODAJI</t>
  </si>
  <si>
    <t>STOČARSTVO</t>
  </si>
  <si>
    <t>NEMA</t>
  </si>
  <si>
    <t>RATARSTVO</t>
  </si>
  <si>
    <t>50 ha</t>
  </si>
  <si>
    <t>Vlastita sredstva</t>
  </si>
  <si>
    <t>Podrum</t>
  </si>
  <si>
    <t>TRAJNI NASAD</t>
  </si>
  <si>
    <t>7,5 ha</t>
  </si>
  <si>
    <t>Kredit</t>
  </si>
  <si>
    <t>Ostava</t>
  </si>
  <si>
    <t>Krave</t>
  </si>
  <si>
    <t>POVRĆARSTVO</t>
  </si>
  <si>
    <t>2 ha</t>
  </si>
  <si>
    <t>Grožđe</t>
  </si>
  <si>
    <t>AWU</t>
  </si>
  <si>
    <t>25 UG</t>
  </si>
  <si>
    <t>Tvornica</t>
  </si>
  <si>
    <t>Vino</t>
  </si>
  <si>
    <t>MR.SC.</t>
  </si>
  <si>
    <t>Masline</t>
  </si>
  <si>
    <t>DR.SC.</t>
  </si>
  <si>
    <t>Kokoši nesilice</t>
  </si>
  <si>
    <t>Krmno bilje</t>
  </si>
  <si>
    <t>Pure</t>
  </si>
  <si>
    <t>Guske/Patke</t>
  </si>
  <si>
    <t>STROJ</t>
  </si>
  <si>
    <t>OBJEKT</t>
  </si>
  <si>
    <t>PROIZVODNJA</t>
  </si>
  <si>
    <t>SPREMA</t>
  </si>
  <si>
    <t>TIP PROIZVODNJE</t>
  </si>
  <si>
    <t>Ukupni broj UG ILI HA</t>
  </si>
  <si>
    <t>Ukupni broj radne snage</t>
  </si>
  <si>
    <t>ZAKUP POVRŠINA</t>
  </si>
  <si>
    <t>POTREBNO DODATNO</t>
  </si>
  <si>
    <t>TRAJNI NASADI</t>
  </si>
  <si>
    <t>POVRĆARSTVO/CVJEĆARSTVO</t>
  </si>
  <si>
    <t>telad i tov svinja</t>
  </si>
  <si>
    <t>tov goveda</t>
  </si>
  <si>
    <t>VRSTA PROIZVODNJE</t>
  </si>
  <si>
    <t>POTREBAN BROJ ZAPOSLENIH / ha</t>
  </si>
  <si>
    <t>Proizvodnja povrća</t>
  </si>
  <si>
    <t>Otvoreno</t>
  </si>
  <si>
    <t>Zaštićeni prostor</t>
  </si>
  <si>
    <t>Bez berbe</t>
  </si>
  <si>
    <t>Sa berbom</t>
  </si>
  <si>
    <t>Ratarstvo</t>
  </si>
  <si>
    <t>Stočarstvo</t>
  </si>
  <si>
    <t>0,02 zaposlena / 1 UG</t>
  </si>
  <si>
    <t>Potreban prosjek</t>
  </si>
  <si>
    <t>Izračun</t>
  </si>
  <si>
    <t>RATARSTVO I OSTALO (HRANA)</t>
  </si>
  <si>
    <t>CVJEĆARSTVO/POVRĆARSTVO</t>
  </si>
  <si>
    <t>SJEMENSKA PROIZVODNJA &gt;5 GOD.</t>
  </si>
  <si>
    <t>SJEMENSKA PROIZVODNJA 3-5 GOD.</t>
  </si>
  <si>
    <t>SJEMENSKA PROIZVODNJA 2-3 GOD.</t>
  </si>
  <si>
    <t>SJEMENSKA PROIZVODNJA &lt;2 GOD.</t>
  </si>
  <si>
    <t>Skladištenje/dorada/prerada</t>
  </si>
  <si>
    <t>Ima objekte za skladištenje/doradu/preradu</t>
  </si>
  <si>
    <t>4</t>
  </si>
  <si>
    <t>2</t>
  </si>
  <si>
    <t>UDALJENOST</t>
  </si>
  <si>
    <t>OBJEKTI UDALJENI &lt;1 KM</t>
  </si>
  <si>
    <t>OBJEKTI UDALJENI 1 - 10 KM</t>
  </si>
  <si>
    <t>OBJEKTI UDALJENI &gt;10 KM</t>
  </si>
  <si>
    <t>ZEMLJIŠTE NEPOSREDNO</t>
  </si>
  <si>
    <t>ZEMLJIŠTE UDALJENO &gt;10 KM</t>
  </si>
  <si>
    <t>ZEMLJIŠTE  UDALJENO &lt;10 KM</t>
  </si>
  <si>
    <t>&gt;5 GODINA</t>
  </si>
  <si>
    <t>2-5 GODINA</t>
  </si>
  <si>
    <t>&lt;2 GODINE</t>
  </si>
  <si>
    <t>IZRAVNA PRODAJA</t>
  </si>
  <si>
    <t>dobit</t>
  </si>
  <si>
    <t>ebit</t>
  </si>
  <si>
    <t>ebitda</t>
  </si>
  <si>
    <t>DOBIT</t>
  </si>
  <si>
    <t>EBIT</t>
  </si>
  <si>
    <t>EBITDA</t>
  </si>
  <si>
    <t>NAZIV</t>
  </si>
  <si>
    <t>OIB</t>
  </si>
  <si>
    <t>BROJ PRIJAVE (POPUNJAVA AGENCIJA)</t>
  </si>
  <si>
    <t>potpis zaposlenika Agencije za poljoprivredno zemljište</t>
  </si>
  <si>
    <t>DA</t>
  </si>
  <si>
    <t>Vrsta proizvodnje</t>
  </si>
  <si>
    <t>Veličina (ha) / kapacitet</t>
  </si>
  <si>
    <t>Minimalna snaga traktora (kW)</t>
  </si>
  <si>
    <t>0,05; 1</t>
  </si>
  <si>
    <t>skladišnog kapaciteta</t>
  </si>
  <si>
    <t>5.000 – 10.000</t>
  </si>
  <si>
    <t>nesilica teških linija</t>
  </si>
  <si>
    <t>10.001 – 15.000</t>
  </si>
  <si>
    <t>I. GOSPODARSKI PROGRAM</t>
  </si>
  <si>
    <t>Odnos početne i ponuđene cijene</t>
  </si>
  <si>
    <t xml:space="preserve">1. </t>
  </si>
  <si>
    <t>Je li podnositelj dosadašnji posjednik zemljišta za koje se natječe?</t>
  </si>
  <si>
    <t>II. BODOVANJE POČETNE CIJENE U ODNOSU NA PONUĐENU</t>
  </si>
  <si>
    <t>III. DOSADAŠNJI POSJEDNIK</t>
  </si>
  <si>
    <t>I. UKUPNO BODOVA</t>
  </si>
  <si>
    <t>II. UKUPNO BODOVA</t>
  </si>
  <si>
    <t>III. UKUPNO BODOVA</t>
  </si>
  <si>
    <t>SVEUKUPNO BODOVA ( I+II+III)</t>
  </si>
  <si>
    <t>TRAJNI NASAD stolno grož</t>
  </si>
  <si>
    <t>OVCE I KOZE</t>
  </si>
  <si>
    <t>MLJEČNE KRAVE</t>
  </si>
  <si>
    <t>TOV GOVEDA</t>
  </si>
  <si>
    <t>KRMAČE</t>
  </si>
  <si>
    <t>TOVLJENICI</t>
  </si>
  <si>
    <t>NESILICE</t>
  </si>
  <si>
    <t>BROJLERI</t>
  </si>
  <si>
    <t>Konvencionalni</t>
  </si>
  <si>
    <t>Ekološki</t>
  </si>
  <si>
    <t>Integrirani</t>
  </si>
  <si>
    <t>trajni</t>
  </si>
  <si>
    <t>stolno</t>
  </si>
  <si>
    <t>cvijeće</t>
  </si>
  <si>
    <t>ratarstvo</t>
  </si>
  <si>
    <t>stočarstvo</t>
  </si>
  <si>
    <t>Sjeme</t>
  </si>
  <si>
    <t>ukupno</t>
  </si>
  <si>
    <t>potpis podnositelja zahtjeva</t>
  </si>
  <si>
    <t>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</si>
</sst>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[$-41A]d/\ mmmm\ yyyy/;@"/>
    <numFmt numFmtId="165" formatCode="#\ &quot;radnika&quot;"/>
    <numFmt numFmtId="166" formatCode="0.0"/>
    <numFmt numFmtId="167" formatCode="#,##0.0\ _k_n"/>
    <numFmt numFmtId="168" formatCode="0.00\ &quot;UG/ha&quot;"/>
    <numFmt numFmtId="169" formatCode="#,##0.00\ &quot;kn&quot;"/>
    <numFmt numFmtId="170" formatCode="#.00\ &quot;ha&quot;"/>
  </numFmts>
  <fonts count="96" x14ac:knownFonts="1">
    <font>
      <sz val="11"/>
      <color indexed="8"/>
      <name val="Rockwel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Rockwell"/>
      <family val="2"/>
      <charset val="238"/>
    </font>
    <font>
      <sz val="9"/>
      <color indexed="8"/>
      <name val="Rockwell"/>
      <family val="2"/>
      <charset val="238"/>
    </font>
    <font>
      <sz val="5.5"/>
      <color indexed="8"/>
      <name val="Rockwell"/>
      <family val="2"/>
      <charset val="238"/>
    </font>
    <font>
      <sz val="11"/>
      <color indexed="8"/>
      <name val="Rockwel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Rockwell"/>
      <family val="2"/>
      <charset val="238"/>
    </font>
    <font>
      <sz val="8"/>
      <name val="Rockwel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Rockwell"/>
      <family val="2"/>
      <charset val="238"/>
    </font>
    <font>
      <sz val="14"/>
      <color indexed="8"/>
      <name val="Rockwell"/>
      <family val="2"/>
      <charset val="238"/>
    </font>
    <font>
      <sz val="11"/>
      <color indexed="23"/>
      <name val="Rockwell"/>
      <family val="2"/>
      <charset val="238"/>
    </font>
    <font>
      <b/>
      <sz val="14"/>
      <name val="Rockwell"/>
      <family val="1"/>
    </font>
    <font>
      <sz val="11"/>
      <color indexed="8"/>
      <name val="Rockwell"/>
      <family val="2"/>
      <charset val="238"/>
    </font>
    <font>
      <u/>
      <sz val="11"/>
      <color indexed="10"/>
      <name val="Rockwell"/>
      <family val="2"/>
      <charset val="238"/>
    </font>
    <font>
      <b/>
      <i/>
      <sz val="14"/>
      <color indexed="8"/>
      <name val="Rockwell"/>
      <family val="1"/>
    </font>
    <font>
      <b/>
      <sz val="14"/>
      <color indexed="8"/>
      <name val="Rockwell"/>
      <family val="1"/>
    </font>
    <font>
      <b/>
      <sz val="11"/>
      <color indexed="8"/>
      <name val="Rockwell"/>
      <family val="1"/>
    </font>
    <font>
      <b/>
      <i/>
      <sz val="14"/>
      <name val="Rockwell"/>
      <family val="1"/>
    </font>
    <font>
      <b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9"/>
      <name val="Arial"/>
      <family val="2"/>
      <charset val="238"/>
    </font>
    <font>
      <sz val="8"/>
      <name val="Calibri"/>
      <family val="2"/>
      <charset val="238"/>
    </font>
    <font>
      <b/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sz val="14"/>
      <name val="Cambria"/>
      <family val="1"/>
      <charset val="238"/>
    </font>
    <font>
      <b/>
      <sz val="14"/>
      <color indexed="22"/>
      <name val="Cambria"/>
      <family val="1"/>
      <charset val="238"/>
    </font>
    <font>
      <sz val="10"/>
      <color indexed="8"/>
      <name val="Cambria"/>
      <family val="1"/>
      <charset val="238"/>
    </font>
    <font>
      <sz val="8"/>
      <color indexed="10"/>
      <name val="Cambria"/>
      <family val="1"/>
      <charset val="238"/>
    </font>
    <font>
      <sz val="11"/>
      <color indexed="9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9"/>
      <name val="Rockwell"/>
      <family val="1"/>
    </font>
    <font>
      <b/>
      <sz val="9"/>
      <color indexed="22"/>
      <name val="Rockwell"/>
      <family val="1"/>
    </font>
    <font>
      <b/>
      <sz val="9"/>
      <color indexed="22"/>
      <name val="Rockwell"/>
      <family val="2"/>
      <charset val="238"/>
    </font>
    <font>
      <sz val="9"/>
      <color indexed="8"/>
      <name val="Arial"/>
      <family val="2"/>
      <charset val="238"/>
    </font>
    <font>
      <sz val="9"/>
      <color indexed="9"/>
      <name val="Rockwell"/>
      <family val="2"/>
      <charset val="238"/>
    </font>
    <font>
      <sz val="9"/>
      <name val="Rockwell"/>
      <family val="2"/>
      <charset val="238"/>
    </font>
    <font>
      <sz val="9"/>
      <name val="Calibri"/>
      <family val="2"/>
      <charset val="238"/>
    </font>
    <font>
      <vertAlign val="superscript"/>
      <sz val="9"/>
      <name val="Arial"/>
      <family val="2"/>
    </font>
    <font>
      <sz val="11"/>
      <color theme="1"/>
      <name val="Rockwell"/>
      <family val="2"/>
      <charset val="238"/>
    </font>
    <font>
      <b/>
      <sz val="11"/>
      <color theme="0"/>
      <name val="Calibri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Rockwell"/>
      <family val="2"/>
      <charset val="238"/>
      <scheme val="minor"/>
    </font>
    <font>
      <sz val="10"/>
      <color rgb="FFFF0000"/>
      <name val="Calibri"/>
      <family val="2"/>
      <charset val="238"/>
    </font>
    <font>
      <sz val="11"/>
      <color theme="0"/>
      <name val="Rockwell"/>
      <family val="2"/>
      <charset val="238"/>
    </font>
    <font>
      <sz val="11"/>
      <color theme="0" tint="-0.34998626667073579"/>
      <name val="Rockwell"/>
      <family val="2"/>
      <charset val="238"/>
    </font>
    <font>
      <b/>
      <sz val="18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sz val="18"/>
      <color theme="0"/>
      <name val="Rockwell"/>
      <family val="2"/>
      <charset val="238"/>
    </font>
    <font>
      <b/>
      <sz val="14"/>
      <color theme="0"/>
      <name val="Calibri"/>
      <family val="2"/>
      <charset val="238"/>
    </font>
    <font>
      <sz val="9"/>
      <color theme="0"/>
      <name val="Rockwell"/>
      <family val="2"/>
      <charset val="238"/>
    </font>
    <font>
      <sz val="9"/>
      <color theme="0"/>
      <name val="Arial"/>
      <family val="2"/>
      <charset val="238"/>
    </font>
    <font>
      <sz val="16"/>
      <color theme="9" tint="-0.499984740745262"/>
      <name val="Rockwell"/>
      <family val="2"/>
      <charset val="238"/>
    </font>
    <font>
      <sz val="11"/>
      <color theme="9" tint="-0.499984740745262"/>
      <name val="Rockwel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Rockwell"/>
      <family val="2"/>
      <charset val="238"/>
      <scheme val="minor"/>
    </font>
    <font>
      <sz val="14"/>
      <color theme="0"/>
      <name val="Rockwell"/>
      <family val="2"/>
      <charset val="238"/>
    </font>
    <font>
      <sz val="18"/>
      <color theme="3"/>
      <name val="Rockwell"/>
      <family val="2"/>
      <charset val="238"/>
      <scheme val="major"/>
    </font>
    <font>
      <sz val="11"/>
      <color rgb="FF006100"/>
      <name val="Rockwell"/>
      <family val="2"/>
      <charset val="238"/>
      <scheme val="minor"/>
    </font>
    <font>
      <b/>
      <sz val="11"/>
      <color rgb="FF3F3F3F"/>
      <name val="Rockwell"/>
      <family val="2"/>
      <charset val="238"/>
      <scheme val="minor"/>
    </font>
    <font>
      <sz val="11"/>
      <color rgb="FFFF0000"/>
      <name val="Rockwell"/>
      <family val="2"/>
      <charset val="238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FFCC"/>
      </patternFill>
    </fill>
  </fills>
  <borders count="5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22" borderId="0" applyNumberFormat="0" applyBorder="0" applyAlignment="0" applyProtection="0"/>
    <xf numFmtId="0" fontId="10" fillId="3" borderId="0" applyNumberFormat="0" applyBorder="0" applyAlignment="0" applyProtection="0"/>
    <xf numFmtId="0" fontId="1" fillId="13" borderId="1" applyNumberFormat="0" applyFont="0" applyAlignment="0" applyProtection="0"/>
    <xf numFmtId="0" fontId="11" fillId="18" borderId="2" applyNumberFormat="0" applyAlignment="0" applyProtection="0"/>
    <xf numFmtId="0" fontId="12" fillId="23" borderId="3" applyNumberFormat="0" applyAlignment="0" applyProtection="0"/>
    <xf numFmtId="43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7" borderId="2" applyNumberFormat="0" applyAlignment="0" applyProtection="0"/>
    <xf numFmtId="0" fontId="20" fillId="18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19" borderId="0" applyNumberFormat="0" applyBorder="0" applyAlignment="0" applyProtection="0"/>
    <xf numFmtId="0" fontId="7" fillId="0" borderId="0"/>
    <xf numFmtId="0" fontId="1" fillId="24" borderId="0"/>
    <xf numFmtId="0" fontId="71" fillId="0" borderId="0"/>
    <xf numFmtId="0" fontId="1" fillId="24" borderId="0"/>
    <xf numFmtId="0" fontId="8" fillId="0" borderId="0"/>
    <xf numFmtId="0" fontId="1" fillId="24" borderId="0"/>
    <xf numFmtId="0" fontId="1" fillId="0" borderId="0"/>
    <xf numFmtId="0" fontId="1" fillId="0" borderId="0"/>
    <xf numFmtId="0" fontId="1" fillId="32" borderId="0"/>
    <xf numFmtId="0" fontId="8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8" fillId="0" borderId="0"/>
    <xf numFmtId="0" fontId="1" fillId="24" borderId="0"/>
    <xf numFmtId="0" fontId="1" fillId="24" borderId="0"/>
    <xf numFmtId="0" fontId="1" fillId="24" borderId="0"/>
    <xf numFmtId="0" fontId="1" fillId="24" borderId="0"/>
    <xf numFmtId="0" fontId="1" fillId="24" borderId="0"/>
    <xf numFmtId="0" fontId="1" fillId="24" borderId="0"/>
    <xf numFmtId="0" fontId="1" fillId="24" borderId="0"/>
    <xf numFmtId="0" fontId="1" fillId="24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93" fillId="54" borderId="0" applyNumberFormat="0" applyBorder="0" applyAlignment="0" applyProtection="0"/>
    <xf numFmtId="0" fontId="94" fillId="53" borderId="57" applyNumberFormat="0" applyAlignment="0" applyProtection="0"/>
    <xf numFmtId="0" fontId="95" fillId="0" borderId="0" applyNumberFormat="0" applyFill="0" applyBorder="0" applyAlignment="0" applyProtection="0"/>
    <xf numFmtId="0" fontId="6" fillId="55" borderId="58" applyNumberFormat="0" applyFont="0" applyAlignment="0" applyProtection="0"/>
  </cellStyleXfs>
  <cellXfs count="480">
    <xf numFmtId="0" fontId="0" fillId="0" borderId="0" xfId="0"/>
    <xf numFmtId="0" fontId="0" fillId="25" borderId="0" xfId="0" applyFill="1"/>
    <xf numFmtId="0" fontId="0" fillId="27" borderId="13" xfId="0" applyFill="1" applyBorder="1"/>
    <xf numFmtId="0" fontId="0" fillId="25" borderId="0" xfId="0" applyFill="1" applyAlignment="1">
      <alignment wrapText="1"/>
    </xf>
    <xf numFmtId="0" fontId="0" fillId="25" borderId="0" xfId="0" applyFill="1" applyBorder="1"/>
    <xf numFmtId="0" fontId="0" fillId="26" borderId="13" xfId="0" applyFill="1" applyBorder="1" applyProtection="1">
      <protection locked="0"/>
    </xf>
    <xf numFmtId="0" fontId="0" fillId="25" borderId="0" xfId="0" applyFill="1" applyBorder="1" applyAlignment="1"/>
    <xf numFmtId="0" fontId="0" fillId="25" borderId="0" xfId="0" applyFill="1" applyBorder="1" applyAlignment="1">
      <alignment wrapText="1"/>
    </xf>
    <xf numFmtId="0" fontId="1" fillId="25" borderId="0" xfId="0" applyFont="1" applyFill="1" applyAlignment="1">
      <alignment wrapText="1"/>
    </xf>
    <xf numFmtId="0" fontId="5" fillId="25" borderId="0" xfId="0" applyFont="1" applyFill="1" applyBorder="1" applyAlignment="1">
      <alignment horizontal="center" vertical="center" textRotation="90" wrapText="1"/>
    </xf>
    <xf numFmtId="0" fontId="26" fillId="25" borderId="0" xfId="0" applyFont="1" applyFill="1"/>
    <xf numFmtId="0" fontId="0" fillId="28" borderId="13" xfId="0" applyFill="1" applyBorder="1"/>
    <xf numFmtId="44" fontId="0" fillId="26" borderId="13" xfId="0" applyNumberFormat="1" applyFill="1" applyBorder="1"/>
    <xf numFmtId="44" fontId="0" fillId="26" borderId="13" xfId="0" applyNumberFormat="1" applyFill="1" applyBorder="1" applyProtection="1">
      <protection locked="0"/>
    </xf>
    <xf numFmtId="0" fontId="30" fillId="25" borderId="0" xfId="0" applyFont="1" applyFill="1"/>
    <xf numFmtId="0" fontId="0" fillId="26" borderId="14" xfId="0" applyFill="1" applyBorder="1" applyProtection="1">
      <protection locked="0"/>
    </xf>
    <xf numFmtId="0" fontId="32" fillId="25" borderId="0" xfId="0" applyFont="1" applyFill="1"/>
    <xf numFmtId="0" fontId="0" fillId="0" borderId="0" xfId="0" applyAlignment="1" applyProtection="1">
      <alignment horizontal="right" wrapText="1"/>
    </xf>
    <xf numFmtId="0" fontId="31" fillId="25" borderId="0" xfId="0" applyFont="1" applyFill="1" applyAlignment="1">
      <alignment horizontal="center"/>
    </xf>
    <xf numFmtId="0" fontId="0" fillId="25" borderId="0" xfId="0" applyFill="1" applyAlignment="1"/>
    <xf numFmtId="0" fontId="0" fillId="26" borderId="13" xfId="0" applyFill="1" applyBorder="1" applyAlignment="1">
      <alignment horizontal="center" vertical="center" wrapText="1"/>
    </xf>
    <xf numFmtId="0" fontId="0" fillId="25" borderId="0" xfId="0" applyFill="1" applyAlignment="1" applyProtection="1">
      <alignment horizontal="right" wrapText="1"/>
    </xf>
    <xf numFmtId="0" fontId="0" fillId="25" borderId="0" xfId="0" applyFill="1" applyAlignment="1">
      <alignment horizontal="right" wrapText="1"/>
    </xf>
    <xf numFmtId="0" fontId="0" fillId="25" borderId="0" xfId="0" applyFill="1" applyBorder="1" applyAlignment="1" applyProtection="1">
      <alignment horizontal="right" wrapText="1"/>
      <protection locked="0"/>
    </xf>
    <xf numFmtId="0" fontId="31" fillId="0" borderId="0" xfId="0" applyFont="1"/>
    <xf numFmtId="0" fontId="36" fillId="25" borderId="0" xfId="0" applyFont="1" applyFill="1" applyAlignment="1">
      <alignment horizontal="right"/>
    </xf>
    <xf numFmtId="0" fontId="37" fillId="25" borderId="0" xfId="0" applyFont="1" applyFill="1" applyAlignment="1">
      <alignment horizontal="center"/>
    </xf>
    <xf numFmtId="0" fontId="0" fillId="25" borderId="15" xfId="0" applyFill="1" applyBorder="1" applyAlignment="1" applyProtection="1">
      <alignment horizontal="right" wrapText="1"/>
    </xf>
    <xf numFmtId="0" fontId="0" fillId="25" borderId="16" xfId="0" applyFill="1" applyBorder="1" applyAlignment="1" applyProtection="1">
      <alignment horizontal="right" wrapText="1"/>
    </xf>
    <xf numFmtId="0" fontId="0" fillId="26" borderId="14" xfId="0" applyFill="1" applyBorder="1"/>
    <xf numFmtId="0" fontId="0" fillId="33" borderId="14" xfId="0" applyFill="1" applyBorder="1" applyProtection="1">
      <protection locked="0"/>
    </xf>
    <xf numFmtId="0" fontId="0" fillId="33" borderId="17" xfId="0" applyFill="1" applyBorder="1" applyProtection="1">
      <protection locked="0"/>
    </xf>
    <xf numFmtId="0" fontId="0" fillId="27" borderId="18" xfId="0" applyFill="1" applyBorder="1"/>
    <xf numFmtId="0" fontId="5" fillId="25" borderId="19" xfId="0" applyFont="1" applyFill="1" applyBorder="1" applyAlignment="1">
      <alignment horizontal="center" vertical="center" textRotation="90" wrapText="1"/>
    </xf>
    <xf numFmtId="0" fontId="0" fillId="25" borderId="20" xfId="0" applyFill="1" applyBorder="1"/>
    <xf numFmtId="0" fontId="0" fillId="26" borderId="18" xfId="0" applyFill="1" applyBorder="1" applyProtection="1">
      <protection locked="0"/>
    </xf>
    <xf numFmtId="0" fontId="4" fillId="34" borderId="13" xfId="0" applyFont="1" applyFill="1" applyBorder="1" applyAlignment="1">
      <alignment horizontal="center"/>
    </xf>
    <xf numFmtId="0" fontId="4" fillId="34" borderId="14" xfId="0" applyFont="1" applyFill="1" applyBorder="1" applyAlignment="1">
      <alignment horizontal="center"/>
    </xf>
    <xf numFmtId="0" fontId="4" fillId="34" borderId="13" xfId="0" applyFont="1" applyFill="1" applyBorder="1" applyAlignment="1">
      <alignment horizontal="center" vertical="center"/>
    </xf>
    <xf numFmtId="0" fontId="4" fillId="34" borderId="14" xfId="0" applyFont="1" applyFill="1" applyBorder="1" applyAlignment="1">
      <alignment horizontal="center" vertical="center" wrapText="1"/>
    </xf>
    <xf numFmtId="0" fontId="0" fillId="28" borderId="21" xfId="0" applyFill="1" applyBorder="1"/>
    <xf numFmtId="0" fontId="0" fillId="28" borderId="22" xfId="0" applyFill="1" applyBorder="1"/>
    <xf numFmtId="0" fontId="0" fillId="28" borderId="14" xfId="0" applyFill="1" applyBorder="1"/>
    <xf numFmtId="0" fontId="1" fillId="0" borderId="0" xfId="50"/>
    <xf numFmtId="0" fontId="39" fillId="0" borderId="0" xfId="50" applyFont="1" applyAlignment="1">
      <alignment horizontal="left"/>
    </xf>
    <xf numFmtId="0" fontId="33" fillId="0" borderId="0" xfId="50" applyFont="1" applyAlignment="1">
      <alignment horizontal="right" vertical="center"/>
    </xf>
    <xf numFmtId="0" fontId="40" fillId="28" borderId="23" xfId="50" applyFont="1" applyFill="1" applyBorder="1" applyAlignment="1">
      <alignment horizontal="center" vertical="center"/>
    </xf>
    <xf numFmtId="0" fontId="40" fillId="28" borderId="24" xfId="50" applyFont="1" applyFill="1" applyBorder="1" applyAlignment="1">
      <alignment horizontal="center" vertical="center"/>
    </xf>
    <xf numFmtId="0" fontId="40" fillId="28" borderId="25" xfId="50" applyFont="1" applyFill="1" applyBorder="1" applyAlignment="1">
      <alignment horizontal="center" vertical="center"/>
    </xf>
    <xf numFmtId="0" fontId="1" fillId="0" borderId="0" xfId="50" applyAlignment="1">
      <alignment vertical="center"/>
    </xf>
    <xf numFmtId="0" fontId="40" fillId="28" borderId="22" xfId="50" applyFont="1" applyFill="1" applyBorder="1" applyAlignment="1">
      <alignment horizontal="center" vertical="center"/>
    </xf>
    <xf numFmtId="0" fontId="40" fillId="28" borderId="18" xfId="50" applyFont="1" applyFill="1" applyBorder="1" applyAlignment="1">
      <alignment horizontal="center" vertical="center"/>
    </xf>
    <xf numFmtId="0" fontId="40" fillId="28" borderId="17" xfId="50" applyFont="1" applyFill="1" applyBorder="1" applyAlignment="1">
      <alignment horizontal="center" vertical="center"/>
    </xf>
    <xf numFmtId="0" fontId="28" fillId="29" borderId="26" xfId="50" applyFont="1" applyFill="1" applyBorder="1" applyAlignment="1">
      <alignment horizontal="center" vertical="center"/>
    </xf>
    <xf numFmtId="49" fontId="28" fillId="29" borderId="26" xfId="50" applyNumberFormat="1" applyFont="1" applyFill="1" applyBorder="1" applyAlignment="1">
      <alignment horizontal="center" vertical="center"/>
    </xf>
    <xf numFmtId="0" fontId="28" fillId="29" borderId="26" xfId="50" applyFont="1" applyFill="1" applyBorder="1" applyAlignment="1"/>
    <xf numFmtId="167" fontId="28" fillId="0" borderId="18" xfId="50" applyNumberFormat="1" applyFont="1" applyBorder="1" applyAlignment="1"/>
    <xf numFmtId="0" fontId="28" fillId="29" borderId="27" xfId="50" applyFont="1" applyFill="1" applyBorder="1" applyAlignment="1">
      <alignment horizontal="center" vertical="center"/>
    </xf>
    <xf numFmtId="0" fontId="28" fillId="29" borderId="26" xfId="50" applyFont="1" applyFill="1" applyBorder="1" applyAlignment="1">
      <alignment horizontal="center" vertical="center" wrapText="1"/>
    </xf>
    <xf numFmtId="0" fontId="40" fillId="28" borderId="28" xfId="50" applyFont="1" applyFill="1" applyBorder="1" applyAlignment="1">
      <alignment horizontal="center" vertical="center"/>
    </xf>
    <xf numFmtId="0" fontId="40" fillId="28" borderId="15" xfId="50" applyFont="1" applyFill="1" applyBorder="1" applyAlignment="1">
      <alignment horizontal="center" vertical="center"/>
    </xf>
    <xf numFmtId="0" fontId="40" fillId="28" borderId="29" xfId="50" applyFont="1" applyFill="1" applyBorder="1" applyAlignment="1">
      <alignment horizontal="center" vertical="center"/>
    </xf>
    <xf numFmtId="0" fontId="28" fillId="29" borderId="26" xfId="50" applyFont="1" applyFill="1" applyBorder="1" applyAlignment="1">
      <alignment horizontal="center"/>
    </xf>
    <xf numFmtId="9" fontId="28" fillId="29" borderId="26" xfId="50" applyNumberFormat="1" applyFont="1" applyFill="1" applyBorder="1" applyAlignment="1">
      <alignment horizontal="center"/>
    </xf>
    <xf numFmtId="0" fontId="1" fillId="0" borderId="26" xfId="50" applyBorder="1" applyAlignment="1">
      <alignment horizontal="center"/>
    </xf>
    <xf numFmtId="49" fontId="28" fillId="29" borderId="26" xfId="50" applyNumberFormat="1" applyFont="1" applyFill="1" applyBorder="1" applyAlignment="1">
      <alignment horizontal="center"/>
    </xf>
    <xf numFmtId="0" fontId="1" fillId="0" borderId="18" xfId="50" applyBorder="1" applyAlignment="1">
      <alignment horizontal="center"/>
    </xf>
    <xf numFmtId="0" fontId="1" fillId="0" borderId="27" xfId="50" applyBorder="1" applyAlignment="1">
      <alignment horizontal="center"/>
    </xf>
    <xf numFmtId="167" fontId="28" fillId="29" borderId="13" xfId="50" applyNumberFormat="1" applyFont="1" applyFill="1" applyBorder="1" applyAlignment="1">
      <alignment horizontal="center"/>
    </xf>
    <xf numFmtId="0" fontId="1" fillId="0" borderId="13" xfId="50" applyBorder="1" applyAlignment="1">
      <alignment horizontal="center"/>
    </xf>
    <xf numFmtId="167" fontId="28" fillId="0" borderId="12" xfId="50" applyNumberFormat="1" applyFont="1" applyBorder="1" applyAlignment="1">
      <alignment horizontal="center"/>
    </xf>
    <xf numFmtId="0" fontId="46" fillId="0" borderId="0" xfId="50" applyFont="1"/>
    <xf numFmtId="0" fontId="28" fillId="29" borderId="13" xfId="50" applyFont="1" applyFill="1" applyBorder="1" applyAlignment="1">
      <alignment horizontal="center"/>
    </xf>
    <xf numFmtId="0" fontId="28" fillId="0" borderId="26" xfId="50" applyFont="1" applyBorder="1" applyAlignment="1">
      <alignment horizontal="center"/>
    </xf>
    <xf numFmtId="0" fontId="28" fillId="29" borderId="26" xfId="50" applyFont="1" applyFill="1" applyBorder="1" applyAlignment="1">
      <alignment horizontal="center" vertical="justify"/>
    </xf>
    <xf numFmtId="167" fontId="28" fillId="0" borderId="18" xfId="50" applyNumberFormat="1" applyFont="1" applyBorder="1" applyAlignment="1">
      <alignment horizontal="center"/>
    </xf>
    <xf numFmtId="0" fontId="28" fillId="0" borderId="18" xfId="50" applyFont="1" applyBorder="1" applyAlignment="1">
      <alignment horizontal="center"/>
    </xf>
    <xf numFmtId="0" fontId="41" fillId="28" borderId="23" xfId="50" applyFont="1" applyFill="1" applyBorder="1" applyAlignment="1">
      <alignment vertical="center"/>
    </xf>
    <xf numFmtId="0" fontId="41" fillId="28" borderId="27" xfId="50" applyFont="1" applyFill="1" applyBorder="1" applyAlignment="1">
      <alignment vertical="center"/>
    </xf>
    <xf numFmtId="167" fontId="41" fillId="28" borderId="25" xfId="50" applyNumberFormat="1" applyFont="1" applyFill="1" applyBorder="1" applyAlignment="1">
      <alignment horizontal="center" vertical="center"/>
    </xf>
    <xf numFmtId="0" fontId="44" fillId="28" borderId="30" xfId="50" applyFont="1" applyFill="1" applyBorder="1" applyAlignment="1">
      <alignment horizontal="center" vertical="center"/>
    </xf>
    <xf numFmtId="0" fontId="44" fillId="28" borderId="31" xfId="50" applyFont="1" applyFill="1" applyBorder="1" applyAlignment="1">
      <alignment horizontal="center" vertical="center"/>
    </xf>
    <xf numFmtId="0" fontId="44" fillId="28" borderId="32" xfId="50" applyFont="1" applyFill="1" applyBorder="1" applyAlignment="1">
      <alignment horizontal="center" vertical="center"/>
    </xf>
    <xf numFmtId="0" fontId="49" fillId="0" borderId="0" xfId="43" applyFont="1" applyFill="1" applyBorder="1" applyAlignment="1">
      <alignment horizontal="left"/>
    </xf>
    <xf numFmtId="0" fontId="49" fillId="0" borderId="0" xfId="43" applyFont="1" applyFill="1" applyBorder="1" applyAlignment="1">
      <alignment horizontal="left" wrapText="1"/>
    </xf>
    <xf numFmtId="0" fontId="72" fillId="35" borderId="13" xfId="43" applyFont="1" applyFill="1" applyBorder="1" applyAlignment="1">
      <alignment horizontal="left"/>
    </xf>
    <xf numFmtId="0" fontId="72" fillId="35" borderId="13" xfId="43" applyFont="1" applyFill="1" applyBorder="1" applyAlignment="1">
      <alignment horizontal="center"/>
    </xf>
    <xf numFmtId="0" fontId="72" fillId="35" borderId="13" xfId="43" applyFont="1" applyFill="1" applyBorder="1" applyAlignment="1">
      <alignment horizontal="center" wrapText="1"/>
    </xf>
    <xf numFmtId="0" fontId="50" fillId="36" borderId="13" xfId="0" applyFont="1" applyFill="1" applyBorder="1" applyAlignment="1">
      <alignment wrapText="1"/>
    </xf>
    <xf numFmtId="0" fontId="50" fillId="36" borderId="13" xfId="0" applyFont="1" applyFill="1" applyBorder="1" applyAlignment="1">
      <alignment horizontal="right" wrapText="1"/>
    </xf>
    <xf numFmtId="0" fontId="0" fillId="37" borderId="0" xfId="0" applyFill="1"/>
    <xf numFmtId="0" fontId="0" fillId="38" borderId="0" xfId="0" applyFill="1"/>
    <xf numFmtId="0" fontId="0" fillId="39" borderId="0" xfId="0" applyFill="1"/>
    <xf numFmtId="0" fontId="73" fillId="0" borderId="0" xfId="0" applyFont="1"/>
    <xf numFmtId="0" fontId="0" fillId="40" borderId="0" xfId="0" applyFill="1"/>
    <xf numFmtId="0" fontId="0" fillId="41" borderId="0" xfId="0" applyFill="1"/>
    <xf numFmtId="0" fontId="74" fillId="0" borderId="0" xfId="0" applyFont="1"/>
    <xf numFmtId="0" fontId="49" fillId="0" borderId="0" xfId="43" applyFont="1" applyFill="1" applyBorder="1" applyAlignment="1">
      <alignment horizontal="center" vertical="center" wrapText="1"/>
    </xf>
    <xf numFmtId="0" fontId="74" fillId="0" borderId="0" xfId="0" applyFont="1" applyAlignment="1">
      <alignment wrapText="1"/>
    </xf>
    <xf numFmtId="0" fontId="75" fillId="0" borderId="0" xfId="0" applyFont="1"/>
    <xf numFmtId="2" fontId="75" fillId="0" borderId="0" xfId="0" applyNumberFormat="1" applyFont="1"/>
    <xf numFmtId="2" fontId="74" fillId="0" borderId="0" xfId="0" applyNumberFormat="1" applyFont="1"/>
    <xf numFmtId="0" fontId="49" fillId="0" borderId="0" xfId="43" applyFont="1" applyFill="1" applyBorder="1" applyAlignment="1">
      <alignment horizontal="right"/>
    </xf>
    <xf numFmtId="0" fontId="74" fillId="0" borderId="0" xfId="0" applyFont="1" applyAlignment="1">
      <alignment horizontal="right"/>
    </xf>
    <xf numFmtId="0" fontId="76" fillId="0" borderId="0" xfId="0" applyFont="1" applyAlignment="1">
      <alignment horizontal="right"/>
    </xf>
    <xf numFmtId="0" fontId="77" fillId="0" borderId="0" xfId="0" applyFont="1" applyAlignment="1">
      <alignment horizontal="right"/>
    </xf>
    <xf numFmtId="165" fontId="77" fillId="0" borderId="0" xfId="0" applyNumberFormat="1" applyFont="1" applyAlignment="1">
      <alignment horizontal="right"/>
    </xf>
    <xf numFmtId="2" fontId="76" fillId="0" borderId="0" xfId="0" applyNumberFormat="1" applyFont="1"/>
    <xf numFmtId="0" fontId="76" fillId="0" borderId="0" xfId="0" applyFont="1"/>
    <xf numFmtId="49" fontId="0" fillId="0" borderId="0" xfId="0" applyNumberFormat="1"/>
    <xf numFmtId="0" fontId="52" fillId="25" borderId="0" xfId="0" applyFont="1" applyFill="1" applyAlignment="1">
      <alignment horizontal="right"/>
    </xf>
    <xf numFmtId="0" fontId="53" fillId="0" borderId="0" xfId="0" applyFont="1" applyFill="1" applyBorder="1" applyAlignment="1" applyProtection="1">
      <alignment horizontal="center" vertical="center"/>
      <protection locked="0"/>
    </xf>
    <xf numFmtId="0" fontId="52" fillId="25" borderId="0" xfId="0" applyFont="1" applyFill="1"/>
    <xf numFmtId="0" fontId="55" fillId="26" borderId="21" xfId="0" applyFont="1" applyFill="1" applyBorder="1"/>
    <xf numFmtId="49" fontId="55" fillId="26" borderId="14" xfId="0" applyNumberFormat="1" applyFont="1" applyFill="1" applyBorder="1" applyProtection="1">
      <protection locked="0"/>
    </xf>
    <xf numFmtId="164" fontId="55" fillId="26" borderId="14" xfId="0" applyNumberFormat="1" applyFont="1" applyFill="1" applyBorder="1" applyAlignment="1" applyProtection="1">
      <alignment horizontal="left"/>
      <protection locked="0"/>
    </xf>
    <xf numFmtId="0" fontId="55" fillId="26" borderId="14" xfId="0" applyFont="1" applyFill="1" applyBorder="1" applyProtection="1">
      <protection locked="0"/>
    </xf>
    <xf numFmtId="0" fontId="55" fillId="26" borderId="14" xfId="0" applyFont="1" applyFill="1" applyBorder="1" applyAlignment="1" applyProtection="1">
      <alignment horizontal="left"/>
      <protection locked="0"/>
    </xf>
    <xf numFmtId="0" fontId="56" fillId="25" borderId="0" xfId="0" applyFont="1" applyFill="1"/>
    <xf numFmtId="0" fontId="57" fillId="25" borderId="0" xfId="0" applyFont="1" applyFill="1"/>
    <xf numFmtId="0" fontId="55" fillId="26" borderId="22" xfId="0" applyFont="1" applyFill="1" applyBorder="1"/>
    <xf numFmtId="0" fontId="55" fillId="26" borderId="17" xfId="0" applyFont="1" applyFill="1" applyBorder="1" applyAlignment="1" applyProtection="1">
      <alignment horizontal="left"/>
      <protection locked="0"/>
    </xf>
    <xf numFmtId="0" fontId="58" fillId="25" borderId="0" xfId="0" applyFont="1" applyFill="1"/>
    <xf numFmtId="0" fontId="55" fillId="26" borderId="17" xfId="0" applyFont="1" applyFill="1" applyBorder="1" applyProtection="1">
      <protection locked="0"/>
    </xf>
    <xf numFmtId="0" fontId="59" fillId="25" borderId="0" xfId="0" applyFont="1" applyFill="1"/>
    <xf numFmtId="0" fontId="55" fillId="27" borderId="33" xfId="0" applyFont="1" applyFill="1" applyBorder="1" applyAlignment="1">
      <alignment horizontal="left"/>
    </xf>
    <xf numFmtId="0" fontId="55" fillId="26" borderId="21" xfId="0" applyFont="1" applyFill="1" applyBorder="1" applyAlignment="1">
      <alignment horizontal="center"/>
    </xf>
    <xf numFmtId="0" fontId="55" fillId="26" borderId="14" xfId="0" applyFont="1" applyFill="1" applyBorder="1" applyAlignment="1">
      <alignment horizontal="center"/>
    </xf>
    <xf numFmtId="0" fontId="55" fillId="26" borderId="21" xfId="0" applyFont="1" applyFill="1" applyBorder="1" applyAlignment="1" applyProtection="1">
      <alignment horizontal="left"/>
      <protection locked="0"/>
    </xf>
    <xf numFmtId="10" fontId="52" fillId="26" borderId="14" xfId="0" applyNumberFormat="1" applyFont="1" applyFill="1" applyBorder="1" applyProtection="1">
      <protection locked="0"/>
    </xf>
    <xf numFmtId="0" fontId="55" fillId="26" borderId="22" xfId="0" applyFont="1" applyFill="1" applyBorder="1" applyAlignment="1" applyProtection="1">
      <alignment horizontal="left"/>
      <protection locked="0"/>
    </xf>
    <xf numFmtId="10" fontId="52" fillId="26" borderId="17" xfId="0" applyNumberFormat="1" applyFont="1" applyFill="1" applyBorder="1" applyProtection="1">
      <protection locked="0"/>
    </xf>
    <xf numFmtId="0" fontId="55" fillId="28" borderId="33" xfId="0" applyFont="1" applyFill="1" applyBorder="1"/>
    <xf numFmtId="0" fontId="55" fillId="28" borderId="34" xfId="0" applyFont="1" applyFill="1" applyBorder="1" applyProtection="1">
      <protection locked="0"/>
    </xf>
    <xf numFmtId="0" fontId="55" fillId="25" borderId="0" xfId="0" applyFont="1" applyFill="1" applyBorder="1"/>
    <xf numFmtId="0" fontId="52" fillId="25" borderId="0" xfId="0" applyFont="1" applyFill="1" applyBorder="1"/>
    <xf numFmtId="0" fontId="60" fillId="0" borderId="35" xfId="0" applyFont="1" applyBorder="1" applyAlignment="1">
      <alignment horizontal="center" vertical="center"/>
    </xf>
    <xf numFmtId="0" fontId="61" fillId="0" borderId="36" xfId="0" applyFont="1" applyBorder="1" applyAlignment="1">
      <alignment horizontal="center" vertical="center"/>
    </xf>
    <xf numFmtId="2" fontId="78" fillId="0" borderId="0" xfId="0" applyNumberFormat="1" applyFont="1"/>
    <xf numFmtId="0" fontId="78" fillId="0" borderId="0" xfId="0" applyFont="1"/>
    <xf numFmtId="0" fontId="74" fillId="0" borderId="0" xfId="0" quotePrefix="1" applyFont="1"/>
    <xf numFmtId="0" fontId="51" fillId="26" borderId="14" xfId="0" applyFont="1" applyFill="1" applyBorder="1" applyAlignment="1" applyProtection="1">
      <alignment horizontal="left"/>
      <protection locked="0"/>
    </xf>
    <xf numFmtId="0" fontId="51" fillId="26" borderId="17" xfId="0" applyFont="1" applyFill="1" applyBorder="1" applyProtection="1">
      <protection locked="0"/>
    </xf>
    <xf numFmtId="0" fontId="79" fillId="25" borderId="0" xfId="0" applyFont="1" applyFill="1"/>
    <xf numFmtId="0" fontId="0" fillId="42" borderId="0" xfId="0" applyFill="1"/>
    <xf numFmtId="0" fontId="0" fillId="43" borderId="0" xfId="0" applyFill="1"/>
    <xf numFmtId="0" fontId="80" fillId="44" borderId="0" xfId="0" applyFont="1" applyFill="1"/>
    <xf numFmtId="0" fontId="80" fillId="25" borderId="0" xfId="0" applyFont="1" applyFill="1"/>
    <xf numFmtId="44" fontId="79" fillId="25" borderId="0" xfId="0" applyNumberFormat="1" applyFont="1" applyFill="1"/>
    <xf numFmtId="169" fontId="79" fillId="25" borderId="0" xfId="0" applyNumberFormat="1" applyFont="1" applyFill="1"/>
    <xf numFmtId="49" fontId="29" fillId="45" borderId="13" xfId="43" applyNumberFormat="1" applyFont="1" applyFill="1" applyBorder="1" applyAlignment="1">
      <alignment horizontal="left" vertical="center" wrapText="1"/>
    </xf>
    <xf numFmtId="0" fontId="29" fillId="45" borderId="13" xfId="43" applyFont="1" applyFill="1" applyBorder="1" applyAlignment="1">
      <alignment horizontal="left" vertical="center" wrapText="1"/>
    </xf>
    <xf numFmtId="0" fontId="49" fillId="36" borderId="13" xfId="43" applyFont="1" applyFill="1" applyBorder="1" applyAlignment="1">
      <alignment horizontal="left" vertical="center" wrapText="1"/>
    </xf>
    <xf numFmtId="168" fontId="49" fillId="36" borderId="13" xfId="43" applyNumberFormat="1" applyFont="1" applyFill="1" applyBorder="1" applyAlignment="1">
      <alignment horizontal="left" vertical="center" wrapText="1"/>
    </xf>
    <xf numFmtId="166" fontId="49" fillId="36" borderId="13" xfId="43" applyNumberFormat="1" applyFont="1" applyFill="1" applyBorder="1" applyAlignment="1">
      <alignment horizontal="left" vertical="center" wrapText="1"/>
    </xf>
    <xf numFmtId="165" fontId="49" fillId="36" borderId="13" xfId="43" applyNumberFormat="1" applyFont="1" applyFill="1" applyBorder="1" applyAlignment="1">
      <alignment horizontal="left" vertical="center" wrapText="1"/>
    </xf>
    <xf numFmtId="1" fontId="49" fillId="36" borderId="13" xfId="43" applyNumberFormat="1" applyFont="1" applyFill="1" applyBorder="1" applyAlignment="1">
      <alignment horizontal="left" vertical="center" wrapText="1"/>
    </xf>
    <xf numFmtId="2" fontId="49" fillId="36" borderId="13" xfId="43" applyNumberFormat="1" applyFont="1" applyFill="1" applyBorder="1" applyAlignment="1">
      <alignment horizontal="left" vertical="center" wrapText="1"/>
    </xf>
    <xf numFmtId="2" fontId="81" fillId="35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top"/>
    </xf>
    <xf numFmtId="164" fontId="0" fillId="0" borderId="0" xfId="0" applyNumberFormat="1" applyAlignment="1">
      <alignment horizontal="center"/>
    </xf>
    <xf numFmtId="0" fontId="82" fillId="35" borderId="13" xfId="43" applyFont="1" applyFill="1" applyBorder="1" applyAlignment="1">
      <alignment horizontal="center" vertical="center"/>
    </xf>
    <xf numFmtId="0" fontId="82" fillId="35" borderId="13" xfId="43" applyFont="1" applyFill="1" applyBorder="1" applyAlignment="1">
      <alignment horizontal="center" vertical="center" wrapText="1"/>
    </xf>
    <xf numFmtId="0" fontId="28" fillId="0" borderId="18" xfId="50" applyNumberFormat="1" applyFont="1" applyBorder="1" applyAlignment="1" applyProtection="1">
      <alignment horizontal="center" vertical="center"/>
      <protection locked="0"/>
    </xf>
    <xf numFmtId="0" fontId="28" fillId="0" borderId="18" xfId="50" applyNumberFormat="1" applyFont="1" applyBorder="1" applyAlignment="1" applyProtection="1">
      <alignment horizontal="center"/>
      <protection locked="0"/>
    </xf>
    <xf numFmtId="0" fontId="28" fillId="0" borderId="13" xfId="50" applyNumberFormat="1" applyFont="1" applyBorder="1" applyAlignment="1" applyProtection="1">
      <alignment horizontal="center"/>
      <protection locked="0"/>
    </xf>
    <xf numFmtId="0" fontId="51" fillId="26" borderId="14" xfId="0" applyFont="1" applyFill="1" applyBorder="1" applyProtection="1">
      <protection locked="0"/>
    </xf>
    <xf numFmtId="0" fontId="60" fillId="0" borderId="35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0" fillId="0" borderId="0" xfId="0" applyAlignment="1"/>
    <xf numFmtId="0" fontId="0" fillId="46" borderId="13" xfId="0" applyFill="1" applyBorder="1" applyAlignment="1"/>
    <xf numFmtId="0" fontId="49" fillId="46" borderId="13" xfId="43" applyFont="1" applyFill="1" applyBorder="1" applyAlignment="1" applyProtection="1">
      <alignment horizontal="left" vertical="center" wrapText="1"/>
      <protection locked="0"/>
    </xf>
    <xf numFmtId="0" fontId="0" fillId="36" borderId="0" xfId="0" applyFill="1"/>
    <xf numFmtId="2" fontId="83" fillId="47" borderId="0" xfId="0" applyNumberFormat="1" applyFont="1" applyFill="1"/>
    <xf numFmtId="1" fontId="0" fillId="0" borderId="0" xfId="0" applyNumberFormat="1"/>
    <xf numFmtId="0" fontId="61" fillId="0" borderId="0" xfId="0" applyFont="1" applyBorder="1" applyAlignment="1">
      <alignment horizontal="center" vertical="center" wrapText="1"/>
    </xf>
    <xf numFmtId="0" fontId="61" fillId="37" borderId="0" xfId="0" applyFont="1" applyFill="1" applyAlignment="1">
      <alignment horizontal="center" vertical="center" wrapText="1"/>
    </xf>
    <xf numFmtId="0" fontId="61" fillId="37" borderId="36" xfId="0" applyFont="1" applyFill="1" applyBorder="1" applyAlignment="1">
      <alignment horizontal="center" vertical="center" wrapText="1"/>
    </xf>
    <xf numFmtId="0" fontId="61" fillId="48" borderId="0" xfId="0" applyFont="1" applyFill="1" applyBorder="1" applyAlignment="1">
      <alignment horizontal="center" vertical="center" wrapText="1"/>
    </xf>
    <xf numFmtId="0" fontId="61" fillId="48" borderId="36" xfId="0" applyFont="1" applyFill="1" applyBorder="1" applyAlignment="1">
      <alignment horizontal="center" vertical="center" wrapText="1"/>
    </xf>
    <xf numFmtId="0" fontId="0" fillId="48" borderId="0" xfId="0" applyFill="1"/>
    <xf numFmtId="0" fontId="61" fillId="48" borderId="0" xfId="0" applyFont="1" applyFill="1" applyAlignment="1">
      <alignment horizontal="center" vertical="center" wrapText="1"/>
    </xf>
    <xf numFmtId="0" fontId="61" fillId="49" borderId="36" xfId="0" applyFont="1" applyFill="1" applyBorder="1" applyAlignment="1">
      <alignment horizontal="center" vertical="center" wrapText="1"/>
    </xf>
    <xf numFmtId="0" fontId="0" fillId="49" borderId="0" xfId="0" applyFill="1"/>
    <xf numFmtId="0" fontId="61" fillId="49" borderId="0" xfId="0" applyFont="1" applyFill="1" applyBorder="1" applyAlignment="1">
      <alignment horizontal="center" vertical="center" wrapText="1"/>
    </xf>
    <xf numFmtId="0" fontId="61" fillId="49" borderId="0" xfId="0" applyFont="1" applyFill="1" applyAlignment="1">
      <alignment horizontal="center" vertical="center" wrapText="1"/>
    </xf>
    <xf numFmtId="0" fontId="61" fillId="50" borderId="36" xfId="0" applyFont="1" applyFill="1" applyBorder="1" applyAlignment="1">
      <alignment horizontal="center" vertical="center" wrapText="1"/>
    </xf>
    <xf numFmtId="0" fontId="0" fillId="50" borderId="0" xfId="0" applyFill="1"/>
    <xf numFmtId="0" fontId="61" fillId="36" borderId="0" xfId="0" applyFont="1" applyFill="1" applyAlignment="1">
      <alignment horizontal="center" vertical="center" wrapText="1"/>
    </xf>
    <xf numFmtId="0" fontId="61" fillId="36" borderId="36" xfId="0" applyFont="1" applyFill="1" applyBorder="1" applyAlignment="1">
      <alignment horizontal="center" vertical="center" wrapText="1"/>
    </xf>
    <xf numFmtId="0" fontId="61" fillId="50" borderId="0" xfId="0" applyFont="1" applyFill="1" applyBorder="1" applyAlignment="1">
      <alignment horizontal="center" vertical="center" wrapText="1"/>
    </xf>
    <xf numFmtId="0" fontId="61" fillId="41" borderId="0" xfId="0" applyFont="1" applyFill="1" applyBorder="1" applyAlignment="1">
      <alignment horizontal="center" vertical="center" wrapText="1"/>
    </xf>
    <xf numFmtId="0" fontId="61" fillId="41" borderId="0" xfId="0" applyFont="1" applyFill="1" applyAlignment="1">
      <alignment horizontal="center" vertical="center" wrapText="1"/>
    </xf>
    <xf numFmtId="0" fontId="61" fillId="41" borderId="37" xfId="0" applyFont="1" applyFill="1" applyBorder="1" applyAlignment="1">
      <alignment horizontal="center" vertical="center" wrapText="1"/>
    </xf>
    <xf numFmtId="2" fontId="84" fillId="35" borderId="13" xfId="0" applyNumberFormat="1" applyFont="1" applyFill="1" applyBorder="1" applyAlignment="1">
      <alignment horizontal="right" vertical="center" wrapText="1"/>
    </xf>
    <xf numFmtId="0" fontId="0" fillId="36" borderId="13" xfId="0" applyFill="1" applyBorder="1" applyAlignment="1">
      <alignment horizontal="right" wrapText="1"/>
    </xf>
    <xf numFmtId="170" fontId="0" fillId="26" borderId="13" xfId="0" applyNumberFormat="1" applyFill="1" applyBorder="1"/>
    <xf numFmtId="0" fontId="30" fillId="44" borderId="0" xfId="0" applyFont="1" applyFill="1"/>
    <xf numFmtId="49" fontId="51" fillId="26" borderId="14" xfId="0" applyNumberFormat="1" applyFont="1" applyFill="1" applyBorder="1" applyProtection="1">
      <protection locked="0"/>
    </xf>
    <xf numFmtId="49" fontId="35" fillId="26" borderId="17" xfId="36" applyNumberFormat="1" applyFill="1" applyBorder="1" applyProtection="1">
      <protection locked="0"/>
    </xf>
    <xf numFmtId="169" fontId="34" fillId="30" borderId="13" xfId="72" applyNumberFormat="1" applyFont="1" applyFill="1" applyBorder="1" applyProtection="1">
      <protection locked="0"/>
    </xf>
    <xf numFmtId="169" fontId="34" fillId="30" borderId="14" xfId="72" applyNumberFormat="1" applyFont="1" applyFill="1" applyBorder="1" applyProtection="1">
      <protection locked="0"/>
    </xf>
    <xf numFmtId="169" fontId="34" fillId="28" borderId="13" xfId="72" applyNumberFormat="1" applyFont="1" applyFill="1" applyBorder="1"/>
    <xf numFmtId="169" fontId="34" fillId="28" borderId="14" xfId="72" applyNumberFormat="1" applyFont="1" applyFill="1" applyBorder="1"/>
    <xf numFmtId="169" fontId="34" fillId="28" borderId="18" xfId="72" applyNumberFormat="1" applyFont="1" applyFill="1" applyBorder="1"/>
    <xf numFmtId="169" fontId="34" fillId="28" borderId="17" xfId="72" applyNumberFormat="1" applyFont="1" applyFill="1" applyBorder="1"/>
    <xf numFmtId="0" fontId="0" fillId="51" borderId="0" xfId="0" applyFill="1"/>
    <xf numFmtId="170" fontId="0" fillId="26" borderId="13" xfId="0" applyNumberFormat="1" applyFill="1" applyBorder="1" applyProtection="1">
      <protection locked="0"/>
    </xf>
    <xf numFmtId="4" fontId="0" fillId="26" borderId="13" xfId="0" applyNumberFormat="1" applyFill="1" applyBorder="1" applyAlignment="1" applyProtection="1">
      <protection locked="0"/>
    </xf>
    <xf numFmtId="4" fontId="0" fillId="26" borderId="14" xfId="0" applyNumberFormat="1" applyFill="1" applyBorder="1" applyAlignment="1" applyProtection="1">
      <protection locked="0"/>
    </xf>
    <xf numFmtId="4" fontId="0" fillId="26" borderId="18" xfId="0" applyNumberFormat="1" applyFill="1" applyBorder="1" applyAlignment="1" applyProtection="1">
      <protection locked="0"/>
    </xf>
    <xf numFmtId="4" fontId="0" fillId="26" borderId="17" xfId="0" applyNumberFormat="1" applyFill="1" applyBorder="1" applyAlignment="1" applyProtection="1">
      <protection locked="0"/>
    </xf>
    <xf numFmtId="169" fontId="34" fillId="42" borderId="13" xfId="72" applyNumberFormat="1" applyFont="1" applyFill="1" applyBorder="1" applyProtection="1"/>
    <xf numFmtId="0" fontId="61" fillId="51" borderId="36" xfId="0" applyFont="1" applyFill="1" applyBorder="1" applyAlignment="1">
      <alignment horizontal="center" vertical="center"/>
    </xf>
    <xf numFmtId="3" fontId="0" fillId="0" borderId="0" xfId="0" applyNumberFormat="1"/>
    <xf numFmtId="0" fontId="51" fillId="26" borderId="34" xfId="0" applyFont="1" applyFill="1" applyBorder="1" applyAlignment="1" applyProtection="1">
      <alignment horizontal="left"/>
      <protection locked="0"/>
    </xf>
    <xf numFmtId="0" fontId="0" fillId="25" borderId="16" xfId="0" applyFill="1" applyBorder="1"/>
    <xf numFmtId="0" fontId="0" fillId="25" borderId="0" xfId="0" applyFill="1" applyAlignment="1">
      <alignment horizontal="center"/>
    </xf>
    <xf numFmtId="0" fontId="0" fillId="0" borderId="13" xfId="0" applyFill="1" applyBorder="1" applyProtection="1">
      <protection locked="0"/>
    </xf>
    <xf numFmtId="170" fontId="0" fillId="0" borderId="13" xfId="0" applyNumberFormat="1" applyFill="1" applyBorder="1" applyProtection="1">
      <protection locked="0"/>
    </xf>
    <xf numFmtId="169" fontId="0" fillId="0" borderId="13" xfId="0" applyNumberFormat="1" applyFill="1" applyBorder="1" applyProtection="1">
      <protection locked="0"/>
    </xf>
    <xf numFmtId="0" fontId="52" fillId="26" borderId="17" xfId="0" applyFont="1" applyFill="1" applyBorder="1" applyProtection="1"/>
    <xf numFmtId="0" fontId="0" fillId="0" borderId="13" xfId="0" applyFill="1" applyBorder="1" applyProtection="1"/>
    <xf numFmtId="169" fontId="0" fillId="0" borderId="13" xfId="0" applyNumberFormat="1" applyFill="1" applyBorder="1" applyProtection="1"/>
    <xf numFmtId="170" fontId="0" fillId="0" borderId="13" xfId="0" applyNumberFormat="1" applyFill="1" applyBorder="1" applyProtection="1"/>
    <xf numFmtId="0" fontId="4" fillId="25" borderId="0" xfId="0" applyFont="1" applyFill="1"/>
    <xf numFmtId="0" fontId="4" fillId="27" borderId="13" xfId="0" applyFont="1" applyFill="1" applyBorder="1" applyAlignment="1">
      <alignment horizontal="center" vertical="center"/>
    </xf>
    <xf numFmtId="0" fontId="4" fillId="27" borderId="13" xfId="0" applyFont="1" applyFill="1" applyBorder="1" applyAlignment="1">
      <alignment horizontal="center" vertical="center" wrapText="1"/>
    </xf>
    <xf numFmtId="0" fontId="66" fillId="27" borderId="13" xfId="0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/>
    </xf>
    <xf numFmtId="0" fontId="4" fillId="27" borderId="13" xfId="0" applyFont="1" applyFill="1" applyBorder="1"/>
    <xf numFmtId="170" fontId="4" fillId="44" borderId="13" xfId="0" applyNumberFormat="1" applyFont="1" applyFill="1" applyBorder="1"/>
    <xf numFmtId="170" fontId="4" fillId="26" borderId="13" xfId="0" applyNumberFormat="1" applyFont="1" applyFill="1" applyBorder="1" applyProtection="1">
      <protection locked="0"/>
    </xf>
    <xf numFmtId="14" fontId="4" fillId="26" borderId="13" xfId="0" applyNumberFormat="1" applyFont="1" applyFill="1" applyBorder="1" applyProtection="1">
      <protection locked="0"/>
    </xf>
    <xf numFmtId="0" fontId="4" fillId="26" borderId="13" xfId="0" applyFont="1" applyFill="1" applyBorder="1" applyProtection="1">
      <protection locked="0"/>
    </xf>
    <xf numFmtId="0" fontId="67" fillId="25" borderId="0" xfId="0" applyFont="1" applyFill="1"/>
    <xf numFmtId="0" fontId="4" fillId="44" borderId="13" xfId="0" applyFont="1" applyFill="1" applyBorder="1"/>
    <xf numFmtId="170" fontId="4" fillId="44" borderId="13" xfId="0" applyNumberFormat="1" applyFont="1" applyFill="1" applyBorder="1" applyProtection="1">
      <protection locked="0"/>
    </xf>
    <xf numFmtId="0" fontId="4" fillId="25" borderId="0" xfId="0" applyFont="1" applyFill="1" applyBorder="1"/>
    <xf numFmtId="0" fontId="68" fillId="25" borderId="0" xfId="0" applyFont="1" applyFill="1" applyBorder="1"/>
    <xf numFmtId="0" fontId="4" fillId="25" borderId="0" xfId="0" applyFont="1" applyFill="1" applyBorder="1" applyAlignment="1"/>
    <xf numFmtId="0" fontId="68" fillId="25" borderId="0" xfId="0" applyFont="1" applyFill="1"/>
    <xf numFmtId="0" fontId="85" fillId="0" borderId="0" xfId="0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85" fillId="0" borderId="0" xfId="0" applyFont="1" applyFill="1"/>
    <xf numFmtId="0" fontId="4" fillId="0" borderId="0" xfId="0" applyFont="1" applyFill="1"/>
    <xf numFmtId="0" fontId="68" fillId="0" borderId="0" xfId="0" applyFont="1" applyFill="1"/>
    <xf numFmtId="0" fontId="67" fillId="25" borderId="0" xfId="0" applyFont="1" applyFill="1" applyBorder="1" applyAlignment="1">
      <alignment horizontal="center" vertical="center" wrapText="1"/>
    </xf>
    <xf numFmtId="3" fontId="4" fillId="26" borderId="13" xfId="0" applyNumberFormat="1" applyFont="1" applyFill="1" applyBorder="1" applyProtection="1">
      <protection locked="0"/>
    </xf>
    <xf numFmtId="0" fontId="4" fillId="26" borderId="13" xfId="0" applyFont="1" applyFill="1" applyBorder="1" applyAlignment="1" applyProtection="1">
      <alignment horizontal="center"/>
      <protection locked="0"/>
    </xf>
    <xf numFmtId="0" fontId="68" fillId="0" borderId="0" xfId="0" applyFont="1" applyFill="1" applyBorder="1"/>
    <xf numFmtId="0" fontId="68" fillId="25" borderId="0" xfId="0" applyFont="1" applyFill="1" applyBorder="1" applyAlignment="1">
      <alignment horizontal="center"/>
    </xf>
    <xf numFmtId="0" fontId="69" fillId="25" borderId="0" xfId="0" applyFont="1" applyFill="1" applyBorder="1" applyAlignment="1">
      <alignment vertical="center"/>
    </xf>
    <xf numFmtId="0" fontId="68" fillId="37" borderId="0" xfId="0" applyFont="1" applyFill="1"/>
    <xf numFmtId="3" fontId="68" fillId="37" borderId="0" xfId="0" applyNumberFormat="1" applyFont="1" applyFill="1"/>
    <xf numFmtId="0" fontId="68" fillId="25" borderId="0" xfId="0" applyFont="1" applyFill="1" applyBorder="1" applyAlignment="1">
      <alignment horizontal="center" vertical="center" wrapText="1"/>
    </xf>
    <xf numFmtId="0" fontId="68" fillId="0" borderId="0" xfId="0" applyFont="1" applyBorder="1" applyAlignment="1"/>
    <xf numFmtId="0" fontId="68" fillId="0" borderId="0" xfId="0" applyFont="1" applyFill="1" applyAlignment="1"/>
    <xf numFmtId="0" fontId="67" fillId="25" borderId="0" xfId="0" applyFont="1" applyFill="1" applyBorder="1"/>
    <xf numFmtId="0" fontId="4" fillId="32" borderId="0" xfId="0" applyFont="1" applyFill="1" applyBorder="1" applyAlignment="1">
      <alignment horizontal="center" vertical="center" wrapText="1"/>
    </xf>
    <xf numFmtId="0" fontId="4" fillId="25" borderId="0" xfId="0" applyFont="1" applyFill="1" applyBorder="1" applyAlignment="1" applyProtection="1">
      <alignment horizontal="center" vertical="center" wrapText="1"/>
    </xf>
    <xf numFmtId="0" fontId="4" fillId="25" borderId="0" xfId="0" applyFont="1" applyFill="1" applyProtection="1"/>
    <xf numFmtId="0" fontId="66" fillId="32" borderId="0" xfId="0" applyFont="1" applyFill="1" applyBorder="1" applyAlignment="1">
      <alignment horizontal="center" vertical="center" wrapText="1"/>
    </xf>
    <xf numFmtId="0" fontId="66" fillId="25" borderId="0" xfId="0" applyFont="1" applyFill="1" applyBorder="1" applyAlignment="1" applyProtection="1">
      <alignment horizontal="center" vertical="center" wrapText="1"/>
    </xf>
    <xf numFmtId="4" fontId="4" fillId="26" borderId="13" xfId="0" applyNumberFormat="1" applyFont="1" applyFill="1" applyBorder="1" applyProtection="1">
      <protection locked="0"/>
    </xf>
    <xf numFmtId="0" fontId="4" fillId="32" borderId="0" xfId="0" applyFont="1" applyFill="1" applyBorder="1" applyProtection="1">
      <protection locked="0"/>
    </xf>
    <xf numFmtId="0" fontId="4" fillId="25" borderId="0" xfId="0" applyFont="1" applyFill="1" applyBorder="1" applyProtection="1"/>
    <xf numFmtId="0" fontId="67" fillId="25" borderId="0" xfId="0" applyFont="1" applyFill="1" applyProtection="1"/>
    <xf numFmtId="0" fontId="4" fillId="27" borderId="13" xfId="0" applyFont="1" applyFill="1" applyBorder="1" applyProtection="1">
      <protection locked="0"/>
    </xf>
    <xf numFmtId="0" fontId="4" fillId="25" borderId="0" xfId="0" applyFont="1" applyFill="1" applyAlignment="1">
      <alignment wrapText="1"/>
    </xf>
    <xf numFmtId="0" fontId="4" fillId="25" borderId="0" xfId="0" applyFont="1" applyFill="1" applyBorder="1" applyAlignment="1">
      <alignment wrapText="1"/>
    </xf>
    <xf numFmtId="0" fontId="4" fillId="27" borderId="14" xfId="0" applyFont="1" applyFill="1" applyBorder="1" applyAlignment="1">
      <alignment horizontal="center" vertical="center" wrapText="1"/>
    </xf>
    <xf numFmtId="2" fontId="4" fillId="26" borderId="14" xfId="0" applyNumberFormat="1" applyFont="1" applyFill="1" applyBorder="1" applyProtection="1">
      <protection locked="0"/>
    </xf>
    <xf numFmtId="2" fontId="4" fillId="26" borderId="17" xfId="0" applyNumberFormat="1" applyFont="1" applyFill="1" applyBorder="1" applyProtection="1">
      <protection locked="0"/>
    </xf>
    <xf numFmtId="0" fontId="70" fillId="25" borderId="0" xfId="0" applyFont="1" applyFill="1"/>
    <xf numFmtId="4" fontId="4" fillId="27" borderId="13" xfId="0" applyNumberFormat="1" applyFont="1" applyFill="1" applyBorder="1" applyProtection="1">
      <protection locked="0"/>
    </xf>
    <xf numFmtId="169" fontId="0" fillId="30" borderId="13" xfId="72" applyNumberFormat="1" applyFont="1" applyFill="1" applyBorder="1" applyProtection="1">
      <protection locked="0"/>
    </xf>
    <xf numFmtId="0" fontId="0" fillId="0" borderId="0" xfId="0" applyAlignment="1" applyProtection="1">
      <alignment horizontal="right"/>
    </xf>
    <xf numFmtId="0" fontId="0" fillId="26" borderId="12" xfId="0" applyFill="1" applyBorder="1" applyAlignment="1">
      <alignment horizontal="right"/>
    </xf>
    <xf numFmtId="0" fontId="0" fillId="0" borderId="11" xfId="0" applyBorder="1" applyAlignment="1">
      <alignment horizontal="right"/>
    </xf>
    <xf numFmtId="0" fontId="3" fillId="25" borderId="10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0" fillId="26" borderId="38" xfId="0" applyFill="1" applyBorder="1" applyAlignment="1" applyProtection="1">
      <alignment horizontal="right" wrapText="1"/>
      <protection locked="0"/>
    </xf>
    <xf numFmtId="0" fontId="0" fillId="26" borderId="38" xfId="0" applyFill="1" applyBorder="1" applyAlignment="1" applyProtection="1">
      <alignment wrapText="1"/>
      <protection locked="0"/>
    </xf>
    <xf numFmtId="0" fontId="54" fillId="31" borderId="39" xfId="0" applyFont="1" applyFill="1" applyBorder="1" applyAlignment="1">
      <alignment horizontal="center" vertical="center"/>
    </xf>
    <xf numFmtId="0" fontId="54" fillId="31" borderId="40" xfId="0" applyFont="1" applyFill="1" applyBorder="1" applyAlignment="1">
      <alignment horizontal="center" vertical="center"/>
    </xf>
    <xf numFmtId="0" fontId="55" fillId="27" borderId="33" xfId="0" applyFont="1" applyFill="1" applyBorder="1" applyAlignment="1">
      <alignment horizontal="center"/>
    </xf>
    <xf numFmtId="0" fontId="55" fillId="27" borderId="34" xfId="0" applyFont="1" applyFill="1" applyBorder="1" applyAlignment="1">
      <alignment horizontal="center"/>
    </xf>
    <xf numFmtId="0" fontId="63" fillId="31" borderId="44" xfId="0" applyFont="1" applyFill="1" applyBorder="1" applyAlignment="1"/>
    <xf numFmtId="0" fontId="65" fillId="0" borderId="16" xfId="0" applyFont="1" applyBorder="1" applyAlignment="1"/>
    <xf numFmtId="0" fontId="4" fillId="27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27" borderId="13" xfId="0" applyFont="1" applyFill="1" applyBorder="1" applyAlignment="1">
      <alignment horizontal="center"/>
    </xf>
    <xf numFmtId="0" fontId="63" fillId="31" borderId="13" xfId="0" applyFont="1" applyFill="1" applyBorder="1" applyAlignment="1"/>
    <xf numFmtId="0" fontId="65" fillId="0" borderId="13" xfId="0" applyFont="1" applyBorder="1" applyAlignment="1"/>
    <xf numFmtId="0" fontId="4" fillId="27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/>
    <xf numFmtId="0" fontId="63" fillId="25" borderId="0" xfId="0" applyFont="1" applyFill="1" applyBorder="1" applyAlignment="1">
      <alignment horizontal="right"/>
    </xf>
    <xf numFmtId="0" fontId="64" fillId="25" borderId="0" xfId="0" applyFont="1" applyFill="1" applyBorder="1" applyAlignment="1">
      <alignment horizontal="right"/>
    </xf>
    <xf numFmtId="0" fontId="63" fillId="31" borderId="41" xfId="0" applyFont="1" applyFill="1" applyBorder="1" applyAlignment="1"/>
    <xf numFmtId="0" fontId="65" fillId="0" borderId="41" xfId="0" applyFont="1" applyBorder="1" applyAlignment="1"/>
    <xf numFmtId="0" fontId="4" fillId="27" borderId="42" xfId="0" applyFont="1" applyFill="1" applyBorder="1" applyAlignment="1">
      <alignment horizontal="center" vertical="center" wrapText="1"/>
    </xf>
    <xf numFmtId="0" fontId="4" fillId="27" borderId="43" xfId="0" applyFont="1" applyFill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26" borderId="13" xfId="0" applyFont="1" applyFill="1" applyBorder="1" applyAlignment="1" applyProtection="1">
      <protection locked="0"/>
    </xf>
    <xf numFmtId="0" fontId="4" fillId="31" borderId="13" xfId="0" applyFont="1" applyFill="1" applyBorder="1" applyAlignment="1"/>
    <xf numFmtId="0" fontId="4" fillId="27" borderId="22" xfId="0" applyFont="1" applyFill="1" applyBorder="1" applyAlignment="1"/>
    <xf numFmtId="0" fontId="4" fillId="0" borderId="18" xfId="0" applyFont="1" applyBorder="1" applyAlignment="1"/>
    <xf numFmtId="0" fontId="4" fillId="27" borderId="21" xfId="0" applyFont="1" applyFill="1" applyBorder="1" applyAlignment="1">
      <alignment horizontal="center" vertical="center"/>
    </xf>
    <xf numFmtId="0" fontId="4" fillId="27" borderId="21" xfId="0" applyFont="1" applyFill="1" applyBorder="1" applyAlignment="1">
      <alignment wrapText="1"/>
    </xf>
    <xf numFmtId="0" fontId="4" fillId="31" borderId="33" xfId="0" applyFont="1" applyFill="1" applyBorder="1" applyAlignment="1" applyProtection="1"/>
    <xf numFmtId="0" fontId="4" fillId="0" borderId="26" xfId="0" applyFont="1" applyBorder="1" applyAlignment="1"/>
    <xf numFmtId="0" fontId="4" fillId="0" borderId="34" xfId="0" applyFont="1" applyBorder="1" applyAlignment="1"/>
    <xf numFmtId="0" fontId="4" fillId="27" borderId="21" xfId="0" applyFont="1" applyFill="1" applyBorder="1" applyAlignment="1"/>
    <xf numFmtId="0" fontId="0" fillId="27" borderId="33" xfId="0" applyFill="1" applyBorder="1" applyAlignment="1"/>
    <xf numFmtId="0" fontId="0" fillId="0" borderId="26" xfId="0" applyBorder="1" applyAlignment="1"/>
    <xf numFmtId="0" fontId="0" fillId="0" borderId="34" xfId="0" applyBorder="1" applyAlignment="1"/>
    <xf numFmtId="0" fontId="3" fillId="34" borderId="21" xfId="0" applyFont="1" applyFill="1" applyBorder="1" applyAlignment="1">
      <alignment horizontal="center" vertical="center" textRotation="90" wrapText="1"/>
    </xf>
    <xf numFmtId="0" fontId="87" fillId="25" borderId="0" xfId="0" applyFont="1" applyFill="1" applyAlignment="1">
      <alignment horizontal="center" vertical="center" wrapText="1"/>
    </xf>
    <xf numFmtId="0" fontId="88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4" fillId="34" borderId="13" xfId="0" applyFont="1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38" fillId="26" borderId="13" xfId="0" applyFont="1" applyFill="1" applyBorder="1" applyAlignment="1" applyProtection="1">
      <protection locked="0"/>
    </xf>
    <xf numFmtId="0" fontId="31" fillId="25" borderId="0" xfId="0" applyFont="1" applyFill="1" applyBorder="1" applyAlignment="1">
      <alignment horizontal="right"/>
    </xf>
    <xf numFmtId="0" fontId="0" fillId="27" borderId="21" xfId="0" applyFill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34" borderId="13" xfId="0" applyFill="1" applyBorder="1" applyAlignment="1"/>
    <xf numFmtId="0" fontId="4" fillId="34" borderId="21" xfId="0" applyFont="1" applyFill="1" applyBorder="1" applyAlignment="1">
      <alignment horizontal="center" vertical="center" textRotation="90"/>
    </xf>
    <xf numFmtId="0" fontId="0" fillId="34" borderId="22" xfId="0" applyFill="1" applyBorder="1" applyAlignment="1">
      <alignment horizontal="center" vertical="center" textRotation="90"/>
    </xf>
    <xf numFmtId="0" fontId="0" fillId="26" borderId="18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4" fillId="34" borderId="13" xfId="0" applyFont="1" applyFill="1" applyBorder="1" applyAlignment="1">
      <alignment horizontal="center" vertical="center"/>
    </xf>
    <xf numFmtId="0" fontId="0" fillId="34" borderId="13" xfId="0" applyFill="1" applyBorder="1" applyAlignment="1">
      <alignment horizontal="center" vertical="center"/>
    </xf>
    <xf numFmtId="0" fontId="0" fillId="27" borderId="21" xfId="0" applyFill="1" applyBorder="1" applyAlignment="1">
      <alignment horizontal="center"/>
    </xf>
    <xf numFmtId="0" fontId="0" fillId="33" borderId="28" xfId="0" applyFill="1" applyBorder="1" applyAlignment="1" applyProtection="1">
      <protection locked="0"/>
    </xf>
    <xf numFmtId="0" fontId="0" fillId="33" borderId="11" xfId="0" applyFill="1" applyBorder="1" applyAlignment="1" applyProtection="1">
      <protection locked="0"/>
    </xf>
    <xf numFmtId="169" fontId="0" fillId="33" borderId="13" xfId="0" applyNumberFormat="1" applyFill="1" applyBorder="1" applyAlignment="1" applyProtection="1">
      <protection locked="0"/>
    </xf>
    <xf numFmtId="0" fontId="0" fillId="26" borderId="21" xfId="0" applyFill="1" applyBorder="1" applyAlignment="1">
      <alignment horizontal="center"/>
    </xf>
    <xf numFmtId="0" fontId="0" fillId="33" borderId="21" xfId="0" applyFill="1" applyBorder="1" applyAlignment="1" applyProtection="1">
      <protection locked="0"/>
    </xf>
    <xf numFmtId="0" fontId="3" fillId="34" borderId="22" xfId="0" applyFont="1" applyFill="1" applyBorder="1" applyAlignment="1">
      <alignment horizontal="center" vertical="center" textRotation="90" wrapText="1"/>
    </xf>
    <xf numFmtId="0" fontId="0" fillId="26" borderId="13" xfId="0" applyFill="1" applyBorder="1" applyAlignment="1">
      <alignment horizontal="center"/>
    </xf>
    <xf numFmtId="0" fontId="0" fillId="33" borderId="12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26" borderId="39" xfId="0" applyFill="1" applyBorder="1" applyAlignment="1">
      <alignment horizontal="center"/>
    </xf>
    <xf numFmtId="0" fontId="0" fillId="0" borderId="45" xfId="0" applyBorder="1" applyAlignment="1"/>
    <xf numFmtId="169" fontId="34" fillId="29" borderId="13" xfId="72" applyNumberFormat="1" applyFont="1" applyFill="1" applyBorder="1" applyAlignment="1" applyProtection="1">
      <protection locked="0"/>
    </xf>
    <xf numFmtId="169" fontId="0" fillId="0" borderId="13" xfId="0" applyNumberFormat="1" applyBorder="1" applyAlignment="1" applyProtection="1">
      <protection locked="0"/>
    </xf>
    <xf numFmtId="169" fontId="0" fillId="0" borderId="14" xfId="0" applyNumberFormat="1" applyBorder="1" applyAlignment="1" applyProtection="1">
      <protection locked="0"/>
    </xf>
    <xf numFmtId="169" fontId="34" fillId="28" borderId="13" xfId="72" applyNumberFormat="1" applyFont="1" applyFill="1" applyBorder="1" applyAlignment="1"/>
    <xf numFmtId="169" fontId="0" fillId="0" borderId="13" xfId="0" applyNumberFormat="1" applyBorder="1" applyAlignment="1"/>
    <xf numFmtId="169" fontId="0" fillId="0" borderId="14" xfId="0" applyNumberFormat="1" applyBorder="1" applyAlignment="1"/>
    <xf numFmtId="169" fontId="34" fillId="42" borderId="13" xfId="72" applyNumberFormat="1" applyFont="1" applyFill="1" applyBorder="1" applyAlignment="1"/>
    <xf numFmtId="169" fontId="0" fillId="42" borderId="13" xfId="0" applyNumberFormat="1" applyFill="1" applyBorder="1" applyAlignment="1"/>
    <xf numFmtId="169" fontId="0" fillId="42" borderId="14" xfId="0" applyNumberFormat="1" applyFill="1" applyBorder="1" applyAlignment="1"/>
    <xf numFmtId="169" fontId="34" fillId="42" borderId="13" xfId="72" applyNumberFormat="1" applyFont="1" applyFill="1" applyBorder="1" applyAlignment="1" applyProtection="1"/>
    <xf numFmtId="169" fontId="0" fillId="42" borderId="13" xfId="0" applyNumberFormat="1" applyFill="1" applyBorder="1" applyAlignment="1" applyProtection="1"/>
    <xf numFmtId="169" fontId="0" fillId="42" borderId="14" xfId="0" applyNumberFormat="1" applyFill="1" applyBorder="1" applyAlignment="1" applyProtection="1"/>
    <xf numFmtId="0" fontId="0" fillId="28" borderId="33" xfId="0" applyFill="1" applyBorder="1" applyAlignment="1">
      <alignment wrapText="1"/>
    </xf>
    <xf numFmtId="0" fontId="0" fillId="28" borderId="21" xfId="0" applyFill="1" applyBorder="1" applyAlignment="1" applyProtection="1">
      <alignment wrapText="1"/>
    </xf>
    <xf numFmtId="0" fontId="0" fillId="0" borderId="13" xfId="0" applyBorder="1" applyAlignment="1" applyProtection="1"/>
    <xf numFmtId="0" fontId="0" fillId="28" borderId="33" xfId="0" applyFill="1" applyBorder="1" applyAlignment="1">
      <alignment horizontal="center" wrapText="1"/>
    </xf>
    <xf numFmtId="0" fontId="0" fillId="28" borderId="26" xfId="0" applyFill="1" applyBorder="1" applyAlignment="1">
      <alignment horizontal="center" wrapText="1"/>
    </xf>
    <xf numFmtId="0" fontId="0" fillId="28" borderId="34" xfId="0" applyFill="1" applyBorder="1" applyAlignment="1">
      <alignment horizontal="center" wrapText="1"/>
    </xf>
    <xf numFmtId="169" fontId="34" fillId="28" borderId="18" xfId="72" applyNumberFormat="1" applyFont="1" applyFill="1" applyBorder="1" applyAlignment="1"/>
    <xf numFmtId="169" fontId="0" fillId="0" borderId="18" xfId="0" applyNumberFormat="1" applyBorder="1" applyAlignment="1"/>
    <xf numFmtId="169" fontId="0" fillId="0" borderId="17" xfId="0" applyNumberFormat="1" applyBorder="1" applyAlignment="1"/>
    <xf numFmtId="0" fontId="48" fillId="39" borderId="13" xfId="43" applyFont="1" applyFill="1" applyBorder="1" applyAlignment="1" applyProtection="1">
      <alignment horizontal="left"/>
    </xf>
    <xf numFmtId="0" fontId="0" fillId="39" borderId="13" xfId="0" applyFill="1" applyBorder="1" applyAlignment="1" applyProtection="1">
      <alignment horizontal="left"/>
    </xf>
    <xf numFmtId="0" fontId="72" fillId="35" borderId="12" xfId="43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8" fillId="52" borderId="13" xfId="43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16" xfId="0" applyBorder="1" applyAlignment="1"/>
    <xf numFmtId="0" fontId="82" fillId="35" borderId="12" xfId="43" applyFont="1" applyFill="1" applyBorder="1" applyAlignment="1">
      <alignment horizontal="center" vertical="center"/>
    </xf>
    <xf numFmtId="0" fontId="0" fillId="0" borderId="15" xfId="0" applyBorder="1" applyAlignment="1"/>
    <xf numFmtId="0" fontId="0" fillId="0" borderId="11" xfId="0" applyBorder="1" applyAlignment="1"/>
    <xf numFmtId="0" fontId="81" fillId="35" borderId="13" xfId="0" applyFont="1" applyFill="1" applyBorder="1" applyAlignment="1">
      <alignment horizontal="right" vertical="center"/>
    </xf>
    <xf numFmtId="0" fontId="62" fillId="0" borderId="0" xfId="43" applyFont="1" applyFill="1" applyBorder="1" applyAlignment="1">
      <alignment horizontal="center" vertical="center" wrapText="1"/>
    </xf>
    <xf numFmtId="0" fontId="89" fillId="0" borderId="0" xfId="0" applyFont="1" applyAlignment="1">
      <alignment vertical="center" wrapText="1"/>
    </xf>
    <xf numFmtId="0" fontId="90" fillId="0" borderId="0" xfId="0" applyFont="1" applyAlignment="1">
      <alignment vertical="center"/>
    </xf>
    <xf numFmtId="0" fontId="83" fillId="47" borderId="0" xfId="0" applyFont="1" applyFill="1" applyAlignment="1">
      <alignment horizontal="right"/>
    </xf>
    <xf numFmtId="0" fontId="0" fillId="47" borderId="0" xfId="0" applyFill="1" applyAlignment="1"/>
    <xf numFmtId="0" fontId="84" fillId="47" borderId="16" xfId="43" applyFont="1" applyFill="1" applyBorder="1" applyAlignment="1">
      <alignment horizontal="left" vertical="center" wrapText="1"/>
    </xf>
    <xf numFmtId="0" fontId="91" fillId="47" borderId="16" xfId="0" applyFont="1" applyFill="1" applyBorder="1" applyAlignment="1">
      <alignment horizontal="left" vertical="center" wrapText="1"/>
    </xf>
    <xf numFmtId="0" fontId="84" fillId="47" borderId="13" xfId="43" applyFont="1" applyFill="1" applyBorder="1" applyAlignment="1">
      <alignment horizontal="left" vertical="center" wrapText="1"/>
    </xf>
    <xf numFmtId="0" fontId="91" fillId="47" borderId="13" xfId="0" applyFont="1" applyFill="1" applyBorder="1" applyAlignment="1">
      <alignment horizontal="left" vertical="center" wrapText="1"/>
    </xf>
    <xf numFmtId="0" fontId="29" fillId="45" borderId="13" xfId="43" applyFont="1" applyFill="1" applyBorder="1" applyAlignment="1">
      <alignment horizontal="left" vertical="center" wrapText="1"/>
    </xf>
    <xf numFmtId="0" fontId="41" fillId="28" borderId="33" xfId="50" applyFont="1" applyFill="1" applyBorder="1" applyAlignment="1">
      <alignment horizontal="center" vertical="center"/>
    </xf>
    <xf numFmtId="0" fontId="41" fillId="28" borderId="22" xfId="50" applyFont="1" applyFill="1" applyBorder="1" applyAlignment="1">
      <alignment horizontal="center" vertical="center"/>
    </xf>
    <xf numFmtId="0" fontId="42" fillId="28" borderId="26" xfId="50" applyFont="1" applyFill="1" applyBorder="1" applyAlignment="1">
      <alignment horizontal="center" vertical="center" wrapText="1"/>
    </xf>
    <xf numFmtId="0" fontId="42" fillId="28" borderId="18" xfId="50" applyFont="1" applyFill="1" applyBorder="1" applyAlignment="1">
      <alignment horizontal="center" vertical="center" wrapText="1"/>
    </xf>
    <xf numFmtId="0" fontId="28" fillId="29" borderId="27" xfId="50" applyFont="1" applyFill="1" applyBorder="1" applyAlignment="1">
      <alignment horizontal="center" vertical="center"/>
    </xf>
    <xf numFmtId="0" fontId="1" fillId="0" borderId="48" xfId="50" applyBorder="1" applyAlignment="1">
      <alignment horizontal="center" vertical="center"/>
    </xf>
    <xf numFmtId="167" fontId="43" fillId="0" borderId="34" xfId="50" applyNumberFormat="1" applyFont="1" applyBorder="1" applyAlignment="1">
      <alignment horizontal="center" vertical="center"/>
    </xf>
    <xf numFmtId="0" fontId="2" fillId="0" borderId="17" xfId="50" applyFont="1" applyBorder="1" applyAlignment="1">
      <alignment horizontal="center" vertical="center"/>
    </xf>
    <xf numFmtId="0" fontId="28" fillId="0" borderId="53" xfId="50" applyNumberFormat="1" applyFont="1" applyBorder="1" applyAlignment="1" applyProtection="1">
      <alignment horizontal="center" vertical="center"/>
      <protection locked="0"/>
    </xf>
    <xf numFmtId="2" fontId="1" fillId="0" borderId="53" xfId="50" applyNumberFormat="1" applyBorder="1" applyAlignment="1" applyProtection="1">
      <alignment horizontal="center" vertical="center"/>
      <protection locked="0"/>
    </xf>
    <xf numFmtId="0" fontId="40" fillId="28" borderId="24" xfId="50" applyFont="1" applyFill="1" applyBorder="1" applyAlignment="1">
      <alignment horizontal="center" vertical="center"/>
    </xf>
    <xf numFmtId="0" fontId="40" fillId="28" borderId="18" xfId="50" applyFont="1" applyFill="1" applyBorder="1" applyAlignment="1">
      <alignment horizontal="center" vertical="center"/>
    </xf>
    <xf numFmtId="0" fontId="28" fillId="29" borderId="26" xfId="50" applyFont="1" applyFill="1" applyBorder="1" applyAlignment="1">
      <alignment horizontal="center" vertical="center"/>
    </xf>
    <xf numFmtId="0" fontId="1" fillId="0" borderId="26" xfId="50" applyBorder="1" applyAlignment="1">
      <alignment horizontal="center" vertical="center"/>
    </xf>
    <xf numFmtId="0" fontId="28" fillId="0" borderId="18" xfId="50" applyNumberFormat="1" applyFont="1" applyBorder="1" applyAlignment="1" applyProtection="1">
      <alignment horizontal="center" vertical="center"/>
      <protection locked="0"/>
    </xf>
    <xf numFmtId="2" fontId="1" fillId="0" borderId="18" xfId="50" applyNumberFormat="1" applyFont="1" applyBorder="1" applyAlignment="1" applyProtection="1">
      <alignment horizontal="center" vertical="center"/>
      <protection locked="0"/>
    </xf>
    <xf numFmtId="0" fontId="42" fillId="28" borderId="26" xfId="50" applyFont="1" applyFill="1" applyBorder="1" applyAlignment="1">
      <alignment horizontal="center" vertical="center"/>
    </xf>
    <xf numFmtId="0" fontId="42" fillId="28" borderId="18" xfId="50" applyFont="1" applyFill="1" applyBorder="1" applyAlignment="1">
      <alignment horizontal="center" vertical="center"/>
    </xf>
    <xf numFmtId="2" fontId="1" fillId="0" borderId="18" xfId="50" applyNumberFormat="1" applyBorder="1" applyAlignment="1" applyProtection="1">
      <alignment horizontal="center" vertical="center"/>
      <protection locked="0"/>
    </xf>
    <xf numFmtId="0" fontId="40" fillId="28" borderId="15" xfId="50" applyFont="1" applyFill="1" applyBorder="1" applyAlignment="1">
      <alignment horizontal="center" vertical="center"/>
    </xf>
    <xf numFmtId="0" fontId="40" fillId="28" borderId="18" xfId="50" applyFont="1" applyFill="1" applyBorder="1" applyAlignment="1">
      <alignment horizontal="center"/>
    </xf>
    <xf numFmtId="0" fontId="41" fillId="28" borderId="33" xfId="50" applyFont="1" applyFill="1" applyBorder="1" applyAlignment="1">
      <alignment horizontal="center" vertical="center" wrapText="1"/>
    </xf>
    <xf numFmtId="0" fontId="41" fillId="28" borderId="22" xfId="50" applyFont="1" applyFill="1" applyBorder="1" applyAlignment="1">
      <alignment horizontal="center" vertical="center" wrapText="1"/>
    </xf>
    <xf numFmtId="9" fontId="28" fillId="29" borderId="26" xfId="50" applyNumberFormat="1" applyFont="1" applyFill="1" applyBorder="1" applyAlignment="1">
      <alignment horizontal="center"/>
    </xf>
    <xf numFmtId="0" fontId="1" fillId="0" borderId="26" xfId="50" applyBorder="1" applyAlignment="1">
      <alignment horizontal="center"/>
    </xf>
    <xf numFmtId="167" fontId="43" fillId="0" borderId="54" xfId="50" applyNumberFormat="1" applyFont="1" applyBorder="1" applyAlignment="1">
      <alignment horizontal="center" vertical="center"/>
    </xf>
    <xf numFmtId="167" fontId="43" fillId="0" borderId="56" xfId="50" applyNumberFormat="1" applyFont="1" applyBorder="1" applyAlignment="1">
      <alignment horizontal="center" vertical="center"/>
    </xf>
    <xf numFmtId="0" fontId="28" fillId="0" borderId="18" xfId="50" applyNumberFormat="1" applyFont="1" applyBorder="1" applyAlignment="1" applyProtection="1">
      <alignment horizontal="center"/>
      <protection locked="0"/>
    </xf>
    <xf numFmtId="2" fontId="1" fillId="0" borderId="18" xfId="50" applyNumberFormat="1" applyBorder="1" applyAlignment="1" applyProtection="1">
      <alignment horizontal="center"/>
      <protection locked="0"/>
    </xf>
    <xf numFmtId="0" fontId="1" fillId="0" borderId="26" xfId="50" applyBorder="1" applyAlignment="1">
      <alignment vertical="center"/>
    </xf>
    <xf numFmtId="2" fontId="28" fillId="0" borderId="18" xfId="50" applyNumberFormat="1" applyFont="1" applyBorder="1" applyAlignment="1">
      <alignment horizontal="center" vertical="center"/>
    </xf>
    <xf numFmtId="2" fontId="1" fillId="0" borderId="18" xfId="50" applyNumberFormat="1" applyBorder="1" applyAlignment="1">
      <alignment vertical="center"/>
    </xf>
    <xf numFmtId="0" fontId="44" fillId="28" borderId="33" xfId="50" applyFont="1" applyFill="1" applyBorder="1" applyAlignment="1">
      <alignment horizontal="center"/>
    </xf>
    <xf numFmtId="0" fontId="41" fillId="0" borderId="26" xfId="50" applyFont="1" applyBorder="1" applyAlignment="1">
      <alignment horizontal="center"/>
    </xf>
    <xf numFmtId="0" fontId="41" fillId="0" borderId="34" xfId="50" applyFont="1" applyBorder="1" applyAlignment="1">
      <alignment horizontal="center"/>
    </xf>
    <xf numFmtId="49" fontId="28" fillId="29" borderId="26" xfId="50" applyNumberFormat="1" applyFont="1" applyFill="1" applyBorder="1" applyAlignment="1">
      <alignment horizontal="center"/>
    </xf>
    <xf numFmtId="0" fontId="41" fillId="28" borderId="49" xfId="50" applyFont="1" applyFill="1" applyBorder="1" applyAlignment="1">
      <alignment horizontal="center" vertical="center" wrapText="1"/>
    </xf>
    <xf numFmtId="0" fontId="1" fillId="0" borderId="50" xfId="50" applyBorder="1" applyAlignment="1">
      <alignment horizontal="center" vertical="center" wrapText="1"/>
    </xf>
    <xf numFmtId="0" fontId="1" fillId="0" borderId="51" xfId="50" applyBorder="1" applyAlignment="1">
      <alignment horizontal="center" vertical="center" wrapText="1"/>
    </xf>
    <xf numFmtId="0" fontId="42" fillId="28" borderId="52" xfId="50" applyFont="1" applyFill="1" applyBorder="1" applyAlignment="1">
      <alignment horizontal="center" vertical="center" wrapText="1"/>
    </xf>
    <xf numFmtId="0" fontId="1" fillId="0" borderId="43" xfId="50" applyBorder="1" applyAlignment="1">
      <alignment horizontal="center" vertical="center" wrapText="1"/>
    </xf>
    <xf numFmtId="0" fontId="1" fillId="0" borderId="53" xfId="50" applyBorder="1" applyAlignment="1">
      <alignment horizontal="center" vertical="center" wrapText="1"/>
    </xf>
    <xf numFmtId="0" fontId="43" fillId="29" borderId="27" xfId="50" applyFont="1" applyFill="1" applyBorder="1" applyAlignment="1">
      <alignment horizontal="center"/>
    </xf>
    <xf numFmtId="0" fontId="2" fillId="0" borderId="24" xfId="50" applyFont="1" applyBorder="1" applyAlignment="1">
      <alignment horizontal="center"/>
    </xf>
    <xf numFmtId="0" fontId="2" fillId="0" borderId="48" xfId="50" applyFont="1" applyBorder="1" applyAlignment="1">
      <alignment horizontal="center"/>
    </xf>
    <xf numFmtId="167" fontId="43" fillId="0" borderId="17" xfId="50" applyNumberFormat="1" applyFont="1" applyBorder="1" applyAlignment="1">
      <alignment horizontal="center" vertical="center"/>
    </xf>
    <xf numFmtId="49" fontId="1" fillId="0" borderId="18" xfId="50" applyNumberFormat="1" applyBorder="1" applyAlignment="1" applyProtection="1">
      <alignment horizontal="center"/>
      <protection locked="0"/>
    </xf>
    <xf numFmtId="0" fontId="28" fillId="29" borderId="26" xfId="50" applyFont="1" applyFill="1" applyBorder="1" applyAlignment="1">
      <alignment horizontal="center"/>
    </xf>
    <xf numFmtId="0" fontId="1" fillId="0" borderId="26" xfId="50" applyBorder="1" applyAlignment="1"/>
    <xf numFmtId="0" fontId="1" fillId="0" borderId="18" xfId="50" applyBorder="1" applyAlignment="1" applyProtection="1">
      <protection locked="0"/>
    </xf>
    <xf numFmtId="0" fontId="1" fillId="0" borderId="18" xfId="50" applyBorder="1" applyAlignment="1" applyProtection="1">
      <alignment horizontal="center"/>
      <protection locked="0"/>
    </xf>
    <xf numFmtId="0" fontId="1" fillId="0" borderId="55" xfId="50" applyBorder="1" applyAlignment="1">
      <alignment horizontal="center" vertical="center"/>
    </xf>
    <xf numFmtId="0" fontId="1" fillId="0" borderId="56" xfId="50" applyBorder="1" applyAlignment="1">
      <alignment horizontal="center" vertical="center"/>
    </xf>
    <xf numFmtId="167" fontId="28" fillId="29" borderId="13" xfId="50" applyNumberFormat="1" applyFont="1" applyFill="1" applyBorder="1" applyAlignment="1">
      <alignment horizontal="center"/>
    </xf>
    <xf numFmtId="0" fontId="1" fillId="0" borderId="13" xfId="50" applyBorder="1" applyAlignment="1">
      <alignment horizontal="center"/>
    </xf>
    <xf numFmtId="0" fontId="28" fillId="0" borderId="13" xfId="50" applyNumberFormat="1" applyFont="1" applyBorder="1" applyAlignment="1" applyProtection="1">
      <alignment horizontal="center"/>
      <protection locked="0"/>
    </xf>
    <xf numFmtId="49" fontId="1" fillId="0" borderId="13" xfId="50" applyNumberFormat="1" applyBorder="1" applyAlignment="1" applyProtection="1">
      <alignment horizontal="center"/>
      <protection locked="0"/>
    </xf>
    <xf numFmtId="0" fontId="43" fillId="29" borderId="12" xfId="50" applyFont="1" applyFill="1" applyBorder="1" applyAlignment="1">
      <alignment horizontal="center"/>
    </xf>
    <xf numFmtId="0" fontId="2" fillId="0" borderId="15" xfId="50" applyFont="1" applyBorder="1" applyAlignment="1">
      <alignment horizontal="center"/>
    </xf>
    <xf numFmtId="0" fontId="2" fillId="0" borderId="11" xfId="50" applyFont="1" applyBorder="1" applyAlignment="1">
      <alignment horizontal="center"/>
    </xf>
    <xf numFmtId="0" fontId="28" fillId="29" borderId="13" xfId="50" applyFont="1" applyFill="1" applyBorder="1" applyAlignment="1">
      <alignment horizontal="center"/>
    </xf>
    <xf numFmtId="0" fontId="28" fillId="29" borderId="27" xfId="50" applyFont="1" applyFill="1" applyBorder="1" applyAlignment="1">
      <alignment horizontal="center"/>
    </xf>
    <xf numFmtId="0" fontId="1" fillId="0" borderId="48" xfId="50" applyBorder="1" applyAlignment="1">
      <alignment horizontal="center"/>
    </xf>
    <xf numFmtId="0" fontId="28" fillId="0" borderId="46" xfId="50" applyNumberFormat="1" applyFont="1" applyBorder="1" applyAlignment="1" applyProtection="1">
      <alignment horizontal="center"/>
      <protection locked="0"/>
    </xf>
    <xf numFmtId="49" fontId="1" fillId="0" borderId="47" xfId="50" applyNumberFormat="1" applyBorder="1" applyAlignment="1" applyProtection="1">
      <alignment horizontal="center"/>
      <protection locked="0"/>
    </xf>
    <xf numFmtId="49" fontId="28" fillId="0" borderId="18" xfId="50" applyNumberFormat="1" applyFont="1" applyBorder="1" applyAlignment="1" applyProtection="1">
      <alignment horizontal="center"/>
      <protection locked="0"/>
    </xf>
    <xf numFmtId="0" fontId="28" fillId="0" borderId="18" xfId="50" applyFont="1" applyBorder="1" applyAlignment="1" applyProtection="1">
      <alignment horizontal="center"/>
      <protection locked="0"/>
    </xf>
    <xf numFmtId="0" fontId="28" fillId="0" borderId="46" xfId="50" applyNumberFormat="1" applyFont="1" applyBorder="1" applyAlignment="1" applyProtection="1">
      <alignment horizontal="center" vertical="center"/>
      <protection locked="0"/>
    </xf>
    <xf numFmtId="49" fontId="1" fillId="0" borderId="31" xfId="50" applyNumberFormat="1" applyBorder="1" applyAlignment="1" applyProtection="1">
      <alignment horizontal="center" vertical="center"/>
      <protection locked="0"/>
    </xf>
    <xf numFmtId="49" fontId="1" fillId="0" borderId="47" xfId="50" applyNumberFormat="1" applyBorder="1" applyAlignment="1" applyProtection="1">
      <alignment horizontal="center" vertical="center"/>
      <protection locked="0"/>
    </xf>
    <xf numFmtId="0" fontId="44" fillId="28" borderId="24" xfId="50" applyFont="1" applyFill="1" applyBorder="1" applyAlignment="1">
      <alignment horizontal="center" vertical="center"/>
    </xf>
    <xf numFmtId="0" fontId="47" fillId="0" borderId="24" xfId="50" applyFont="1" applyBorder="1" applyAlignment="1">
      <alignment horizontal="center" vertical="center"/>
    </xf>
    <xf numFmtId="0" fontId="47" fillId="0" borderId="48" xfId="50" applyFont="1" applyBorder="1" applyAlignment="1">
      <alignment horizontal="center" vertical="center"/>
    </xf>
    <xf numFmtId="0" fontId="44" fillId="28" borderId="31" xfId="50" applyFont="1" applyFill="1" applyBorder="1" applyAlignment="1">
      <alignment horizontal="right" vertical="center"/>
    </xf>
    <xf numFmtId="0" fontId="44" fillId="28" borderId="47" xfId="50" applyFont="1" applyFill="1" applyBorder="1" applyAlignment="1">
      <alignment horizontal="right" vertical="center"/>
    </xf>
    <xf numFmtId="0" fontId="1" fillId="0" borderId="24" xfId="50" applyBorder="1" applyAlignment="1">
      <alignment horizontal="center"/>
    </xf>
    <xf numFmtId="0" fontId="61" fillId="0" borderId="35" xfId="0" applyFont="1" applyBorder="1" applyAlignment="1">
      <alignment horizontal="center" vertical="center"/>
    </xf>
    <xf numFmtId="0" fontId="60" fillId="0" borderId="35" xfId="0" applyFont="1" applyBorder="1" applyAlignment="1">
      <alignment horizontal="center" vertical="center"/>
    </xf>
    <xf numFmtId="0" fontId="61" fillId="0" borderId="37" xfId="0" applyFont="1" applyBorder="1" applyAlignment="1">
      <alignment horizontal="center" vertical="center"/>
    </xf>
    <xf numFmtId="0" fontId="61" fillId="0" borderId="36" xfId="0" applyFont="1" applyBorder="1" applyAlignment="1">
      <alignment horizontal="center" vertical="center"/>
    </xf>
    <xf numFmtId="0" fontId="61" fillId="0" borderId="37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79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Bilješka" xfId="78" builtinId="10" hidden="1"/>
    <cellStyle name="Bilješka 2" xfId="26"/>
    <cellStyle name="Calculation 2" xfId="27"/>
    <cellStyle name="Check Cell 2" xfId="28"/>
    <cellStyle name="Comma 2" xfId="29"/>
    <cellStyle name="Dobro" xfId="75" builtinId="26" hidden="1"/>
    <cellStyle name="Dobro 2" xfId="30"/>
    <cellStyle name="Explanatory Text 2" xfId="31"/>
    <cellStyle name="Heading 1 2" xfId="32"/>
    <cellStyle name="Heading 2 2" xfId="33"/>
    <cellStyle name="Heading 3 2" xfId="34"/>
    <cellStyle name="Heading 4 2" xfId="35"/>
    <cellStyle name="Hiperveza" xfId="36" builtinId="8"/>
    <cellStyle name="Hiperveza 2" xfId="37"/>
    <cellStyle name="Input 2" xfId="38"/>
    <cellStyle name="Izlaz" xfId="76" builtinId="21" hidden="1"/>
    <cellStyle name="Izlaz 2" xfId="39"/>
    <cellStyle name="Linked Cell 2" xfId="40"/>
    <cellStyle name="Naslov" xfId="74" builtinId="15" hidden="1"/>
    <cellStyle name="Naslov 5" xfId="41"/>
    <cellStyle name="Neutral 2" xfId="42"/>
    <cellStyle name="Normal 2" xfId="43"/>
    <cellStyle name="Normal 2 2" xfId="44"/>
    <cellStyle name="Normal 3" xfId="45"/>
    <cellStyle name="Normal 3 2" xfId="46"/>
    <cellStyle name="Normal 3_Financijski tok" xfId="47"/>
    <cellStyle name="Normal 4" xfId="48"/>
    <cellStyle name="Normal 5" xfId="49"/>
    <cellStyle name="Normalno" xfId="0" builtinId="0"/>
    <cellStyle name="Normalno 2" xfId="50"/>
    <cellStyle name="Obično 10" xfId="51"/>
    <cellStyle name="Obično 11" xfId="52"/>
    <cellStyle name="Obično 2" xfId="53"/>
    <cellStyle name="Obično 2 2" xfId="54"/>
    <cellStyle name="Obično 2_Balance sheet" xfId="55"/>
    <cellStyle name="Obično 3" xfId="56"/>
    <cellStyle name="Obično 3 2" xfId="57"/>
    <cellStyle name="Obično 3_Financijski tok" xfId="58"/>
    <cellStyle name="Obično 4" xfId="59"/>
    <cellStyle name="Obično 5" xfId="60"/>
    <cellStyle name="Obično 6" xfId="61"/>
    <cellStyle name="Obično 7" xfId="62"/>
    <cellStyle name="Obično 8" xfId="63"/>
    <cellStyle name="Obično 9" xfId="64"/>
    <cellStyle name="Obično 9 2" xfId="65"/>
    <cellStyle name="Obično 9_Financijski tok" xfId="66"/>
    <cellStyle name="Obično_melanija i branka" xfId="67"/>
    <cellStyle name="Percent 2" xfId="68"/>
    <cellStyle name="Postotak 2" xfId="69"/>
    <cellStyle name="Tekst upozorenja" xfId="77" builtinId="11" hidden="1"/>
    <cellStyle name="Tekst upozorenja 2" xfId="70"/>
    <cellStyle name="Total 2" xfId="71"/>
    <cellStyle name="Valuta" xfId="72" builtinId="4"/>
    <cellStyle name="Zarez 2" xfId="73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\ &quot;radnika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ables/table1.xml><?xml version="1.0" encoding="utf-8"?>
<table xmlns="http://schemas.openxmlformats.org/spreadsheetml/2006/main" id="1" name="Table2" displayName="Table2" ref="A1:G6" totalsRowShown="0" headerRowDxfId="1" dataDxfId="0" headerRowCellStyle="Normal 2">
  <tableColumns count="7">
    <tableColumn id="1" name="TIP PROIZVODNJE" dataDxfId="7"/>
    <tableColumn id="2" name="Ukupni broj UG ILI HA" dataDxfId="6" dataCellStyle="Obično 10"/>
    <tableColumn id="3" name="Ukupni broj radne snage" dataDxfId="5"/>
    <tableColumn id="4" name="Potreban prosjek" dataDxfId="4" dataCellStyle="Obično 10"/>
    <tableColumn id="5" name="Izračun" dataDxfId="3"/>
    <tableColumn id="6" name="ZAKUP POVRŠINA"/>
    <tableColumn id="7" name="POTREBNO DODATNO" dataDxfId="2"/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jevaonica">
  <a:themeElements>
    <a:clrScheme name="Ljevaonica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Ljevaonica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Ljevaonica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67500" t="35000" r="32500" b="65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N39"/>
  <sheetViews>
    <sheetView showRowColHeaders="0" tabSelected="1" view="pageBreakPreview" zoomScaleNormal="100" zoomScaleSheetLayoutView="100" workbookViewId="0">
      <selection activeCell="C4" sqref="C4:J4"/>
    </sheetView>
  </sheetViews>
  <sheetFormatPr defaultColWidth="9" defaultRowHeight="15" x14ac:dyDescent="0.4"/>
  <cols>
    <col min="1" max="1" width="7.58203125" style="1" customWidth="1"/>
    <col min="2" max="2" width="16.5" style="1" customWidth="1"/>
    <col min="3" max="3" width="25" style="1" customWidth="1"/>
    <col min="4" max="4" width="12.33203125" style="1" customWidth="1"/>
    <col min="5" max="5" width="19.58203125" style="1" customWidth="1"/>
    <col min="6" max="6" width="17.83203125" style="1" customWidth="1"/>
    <col min="7" max="7" width="11" style="1" customWidth="1"/>
    <col min="8" max="8" width="19.58203125" style="1" customWidth="1"/>
    <col min="9" max="9" width="12.33203125" style="1" customWidth="1"/>
    <col min="10" max="10" width="26.5" style="1" customWidth="1"/>
    <col min="11" max="16384" width="9" style="1"/>
  </cols>
  <sheetData>
    <row r="2" spans="1:14" ht="15.75" customHeight="1" x14ac:dyDescent="0.4">
      <c r="A2" s="17"/>
      <c r="B2" s="17"/>
      <c r="C2" s="17"/>
      <c r="D2" s="17"/>
      <c r="E2" s="17"/>
      <c r="F2" s="17"/>
      <c r="G2" s="280"/>
      <c r="H2" s="280"/>
      <c r="I2" s="280"/>
      <c r="J2" s="280"/>
      <c r="K2" s="19"/>
      <c r="L2" s="19"/>
      <c r="M2" s="19"/>
      <c r="N2" s="19"/>
    </row>
    <row r="3" spans="1:14" ht="20.25" customHeight="1" x14ac:dyDescent="0.45">
      <c r="A3"/>
      <c r="B3"/>
      <c r="C3"/>
      <c r="D3"/>
      <c r="E3"/>
      <c r="F3"/>
      <c r="G3"/>
      <c r="H3"/>
      <c r="I3" s="24" t="s">
        <v>195</v>
      </c>
      <c r="J3" s="18" t="s">
        <v>191</v>
      </c>
    </row>
    <row r="4" spans="1:14" ht="15.75" customHeight="1" x14ac:dyDescent="0.4">
      <c r="B4" s="28" t="s">
        <v>235</v>
      </c>
      <c r="C4" s="285"/>
      <c r="D4" s="286"/>
      <c r="E4" s="286"/>
      <c r="F4" s="286"/>
      <c r="G4" s="286"/>
      <c r="H4" s="286"/>
      <c r="I4" s="286"/>
      <c r="J4" s="286"/>
      <c r="K4" s="19"/>
      <c r="L4" s="19"/>
      <c r="M4" s="19"/>
      <c r="N4" s="19"/>
    </row>
    <row r="5" spans="1:14" ht="15.75" customHeight="1" x14ac:dyDescent="0.4">
      <c r="B5" s="27" t="s">
        <v>200</v>
      </c>
      <c r="C5" s="285"/>
      <c r="D5" s="286"/>
      <c r="E5" s="286"/>
      <c r="F5" s="286"/>
      <c r="G5" s="286"/>
      <c r="H5" s="286"/>
      <c r="I5" s="286"/>
      <c r="J5" s="286"/>
      <c r="K5" s="19"/>
      <c r="L5" s="19"/>
      <c r="M5" s="19"/>
      <c r="N5" s="19"/>
    </row>
    <row r="6" spans="1:14" ht="15.75" customHeight="1" x14ac:dyDescent="0.4">
      <c r="B6" s="27" t="s">
        <v>201</v>
      </c>
      <c r="C6" s="285"/>
      <c r="D6" s="286"/>
      <c r="E6" s="286"/>
      <c r="F6" s="286"/>
      <c r="G6" s="286"/>
      <c r="H6" s="286"/>
      <c r="I6" s="286"/>
      <c r="J6" s="286"/>
      <c r="K6" s="19"/>
      <c r="L6" s="19"/>
      <c r="M6" s="19"/>
      <c r="N6" s="19"/>
    </row>
    <row r="7" spans="1:14" ht="13.5" customHeight="1" x14ac:dyDescent="0.4">
      <c r="B7" s="27" t="s">
        <v>199</v>
      </c>
      <c r="C7" s="285"/>
      <c r="D7" s="286"/>
      <c r="E7" s="286"/>
      <c r="F7" s="286"/>
      <c r="G7" s="286"/>
      <c r="H7" s="286"/>
      <c r="I7" s="286"/>
      <c r="J7" s="286"/>
      <c r="K7" s="19"/>
      <c r="L7" s="19"/>
      <c r="M7" s="19"/>
      <c r="N7" s="19"/>
    </row>
    <row r="8" spans="1:14" ht="13.5" customHeight="1" x14ac:dyDescent="0.4">
      <c r="A8" s="21"/>
      <c r="B8" s="22"/>
      <c r="C8" s="23"/>
      <c r="D8" s="7"/>
      <c r="E8" s="7"/>
      <c r="F8" s="7"/>
      <c r="G8" s="7"/>
      <c r="H8" s="7"/>
      <c r="I8" s="7"/>
      <c r="J8" s="7"/>
      <c r="K8" s="19"/>
      <c r="L8" s="19"/>
      <c r="M8" s="19"/>
      <c r="N8" s="19"/>
    </row>
    <row r="9" spans="1:14" ht="45" x14ac:dyDescent="0.4">
      <c r="A9" s="20" t="s">
        <v>163</v>
      </c>
      <c r="B9" s="20" t="s">
        <v>181</v>
      </c>
      <c r="C9" s="20" t="s">
        <v>198</v>
      </c>
      <c r="D9" s="20" t="s">
        <v>161</v>
      </c>
      <c r="E9" s="20" t="s">
        <v>233</v>
      </c>
      <c r="F9" s="20" t="s">
        <v>183</v>
      </c>
      <c r="G9" s="20" t="s">
        <v>160</v>
      </c>
      <c r="H9" s="20" t="s">
        <v>234</v>
      </c>
      <c r="I9" s="20" t="s">
        <v>161</v>
      </c>
      <c r="J9" s="20" t="s">
        <v>162</v>
      </c>
    </row>
    <row r="10" spans="1:14" x14ac:dyDescent="0.4">
      <c r="A10" s="220"/>
      <c r="B10" s="220"/>
      <c r="C10" s="220"/>
      <c r="D10" s="221"/>
      <c r="E10" s="222"/>
      <c r="F10" s="224" t="str">
        <f>IF(B10="","",B10)</f>
        <v/>
      </c>
      <c r="G10" s="224"/>
      <c r="H10" s="225" t="str">
        <f>IF(E10="","",E10)</f>
        <v/>
      </c>
      <c r="I10" s="226" t="str">
        <f>IF(D10="","",D10)</f>
        <v/>
      </c>
      <c r="J10" s="13"/>
    </row>
    <row r="11" spans="1:14" x14ac:dyDescent="0.4">
      <c r="A11" s="220"/>
      <c r="B11" s="220"/>
      <c r="C11" s="220"/>
      <c r="D11" s="221"/>
      <c r="E11" s="222"/>
      <c r="F11" s="224" t="str">
        <f t="shared" ref="F11:F34" si="0">IF(B11="","",B11)</f>
        <v/>
      </c>
      <c r="G11" s="224"/>
      <c r="H11" s="225" t="str">
        <f t="shared" ref="H11:H34" si="1">IF(E11="","",E11)</f>
        <v/>
      </c>
      <c r="I11" s="226" t="str">
        <f t="shared" ref="I11:I34" si="2">IF(D11="","",D11)</f>
        <v/>
      </c>
      <c r="J11" s="13"/>
    </row>
    <row r="12" spans="1:14" x14ac:dyDescent="0.4">
      <c r="A12" s="220"/>
      <c r="B12" s="220"/>
      <c r="C12" s="220"/>
      <c r="D12" s="221"/>
      <c r="E12" s="222"/>
      <c r="F12" s="224" t="str">
        <f t="shared" si="0"/>
        <v/>
      </c>
      <c r="G12" s="224"/>
      <c r="H12" s="225" t="str">
        <f t="shared" si="1"/>
        <v/>
      </c>
      <c r="I12" s="226" t="str">
        <f t="shared" si="2"/>
        <v/>
      </c>
      <c r="J12" s="13"/>
    </row>
    <row r="13" spans="1:14" x14ac:dyDescent="0.4">
      <c r="A13" s="220"/>
      <c r="B13" s="220"/>
      <c r="C13" s="220"/>
      <c r="D13" s="221"/>
      <c r="E13" s="222"/>
      <c r="F13" s="224" t="str">
        <f t="shared" si="0"/>
        <v/>
      </c>
      <c r="G13" s="224"/>
      <c r="H13" s="225" t="str">
        <f t="shared" si="1"/>
        <v/>
      </c>
      <c r="I13" s="226" t="str">
        <f t="shared" si="2"/>
        <v/>
      </c>
      <c r="J13" s="13"/>
    </row>
    <row r="14" spans="1:14" x14ac:dyDescent="0.4">
      <c r="A14" s="220"/>
      <c r="B14" s="220"/>
      <c r="C14" s="220"/>
      <c r="D14" s="221"/>
      <c r="E14" s="222"/>
      <c r="F14" s="224" t="str">
        <f t="shared" si="0"/>
        <v/>
      </c>
      <c r="G14" s="224"/>
      <c r="H14" s="225" t="str">
        <f t="shared" si="1"/>
        <v/>
      </c>
      <c r="I14" s="226" t="str">
        <f t="shared" si="2"/>
        <v/>
      </c>
      <c r="J14" s="13"/>
    </row>
    <row r="15" spans="1:14" x14ac:dyDescent="0.4">
      <c r="A15" s="220"/>
      <c r="B15" s="220"/>
      <c r="C15" s="220"/>
      <c r="D15" s="221"/>
      <c r="E15" s="222"/>
      <c r="F15" s="224" t="str">
        <f t="shared" si="0"/>
        <v/>
      </c>
      <c r="G15" s="224"/>
      <c r="H15" s="225" t="str">
        <f t="shared" si="1"/>
        <v/>
      </c>
      <c r="I15" s="226" t="str">
        <f t="shared" si="2"/>
        <v/>
      </c>
      <c r="J15" s="13"/>
    </row>
    <row r="16" spans="1:14" x14ac:dyDescent="0.4">
      <c r="A16" s="220"/>
      <c r="B16" s="220"/>
      <c r="C16" s="220"/>
      <c r="D16" s="221"/>
      <c r="E16" s="222"/>
      <c r="F16" s="224" t="str">
        <f t="shared" si="0"/>
        <v/>
      </c>
      <c r="G16" s="224"/>
      <c r="H16" s="225" t="str">
        <f t="shared" si="1"/>
        <v/>
      </c>
      <c r="I16" s="226" t="str">
        <f t="shared" si="2"/>
        <v/>
      </c>
      <c r="J16" s="13"/>
    </row>
    <row r="17" spans="1:10" x14ac:dyDescent="0.4">
      <c r="A17" s="220"/>
      <c r="B17" s="220"/>
      <c r="C17" s="220"/>
      <c r="D17" s="221"/>
      <c r="E17" s="222"/>
      <c r="F17" s="224" t="str">
        <f t="shared" si="0"/>
        <v/>
      </c>
      <c r="G17" s="224"/>
      <c r="H17" s="225" t="str">
        <f t="shared" si="1"/>
        <v/>
      </c>
      <c r="I17" s="226" t="str">
        <f t="shared" si="2"/>
        <v/>
      </c>
      <c r="J17" s="13"/>
    </row>
    <row r="18" spans="1:10" x14ac:dyDescent="0.4">
      <c r="A18" s="220"/>
      <c r="B18" s="220"/>
      <c r="C18" s="220"/>
      <c r="D18" s="221"/>
      <c r="E18" s="222"/>
      <c r="F18" s="224" t="str">
        <f t="shared" si="0"/>
        <v/>
      </c>
      <c r="G18" s="224"/>
      <c r="H18" s="225" t="str">
        <f t="shared" si="1"/>
        <v/>
      </c>
      <c r="I18" s="226" t="str">
        <f t="shared" si="2"/>
        <v/>
      </c>
      <c r="J18" s="13"/>
    </row>
    <row r="19" spans="1:10" x14ac:dyDescent="0.4">
      <c r="A19" s="220"/>
      <c r="B19" s="220"/>
      <c r="C19" s="220"/>
      <c r="D19" s="221"/>
      <c r="E19" s="222"/>
      <c r="F19" s="224" t="str">
        <f t="shared" si="0"/>
        <v/>
      </c>
      <c r="G19" s="224"/>
      <c r="H19" s="225" t="str">
        <f t="shared" si="1"/>
        <v/>
      </c>
      <c r="I19" s="226" t="str">
        <f t="shared" si="2"/>
        <v/>
      </c>
      <c r="J19" s="13"/>
    </row>
    <row r="20" spans="1:10" x14ac:dyDescent="0.4">
      <c r="A20" s="220"/>
      <c r="B20" s="220"/>
      <c r="C20" s="220"/>
      <c r="D20" s="221"/>
      <c r="E20" s="222"/>
      <c r="F20" s="224" t="str">
        <f t="shared" si="0"/>
        <v/>
      </c>
      <c r="G20" s="224"/>
      <c r="H20" s="225" t="str">
        <f t="shared" si="1"/>
        <v/>
      </c>
      <c r="I20" s="226" t="str">
        <f t="shared" si="2"/>
        <v/>
      </c>
      <c r="J20" s="13"/>
    </row>
    <row r="21" spans="1:10" x14ac:dyDescent="0.4">
      <c r="A21" s="220"/>
      <c r="B21" s="220"/>
      <c r="C21" s="220"/>
      <c r="D21" s="221"/>
      <c r="E21" s="222"/>
      <c r="F21" s="224" t="str">
        <f t="shared" si="0"/>
        <v/>
      </c>
      <c r="G21" s="224"/>
      <c r="H21" s="225" t="str">
        <f t="shared" si="1"/>
        <v/>
      </c>
      <c r="I21" s="226" t="str">
        <f t="shared" si="2"/>
        <v/>
      </c>
      <c r="J21" s="13"/>
    </row>
    <row r="22" spans="1:10" x14ac:dyDescent="0.4">
      <c r="A22" s="220"/>
      <c r="B22" s="220"/>
      <c r="C22" s="220"/>
      <c r="D22" s="221"/>
      <c r="E22" s="222"/>
      <c r="F22" s="224" t="str">
        <f t="shared" si="0"/>
        <v/>
      </c>
      <c r="G22" s="224"/>
      <c r="H22" s="225" t="str">
        <f t="shared" si="1"/>
        <v/>
      </c>
      <c r="I22" s="226" t="str">
        <f t="shared" si="2"/>
        <v/>
      </c>
      <c r="J22" s="13"/>
    </row>
    <row r="23" spans="1:10" x14ac:dyDescent="0.4">
      <c r="A23" s="220"/>
      <c r="B23" s="220"/>
      <c r="C23" s="220"/>
      <c r="D23" s="221"/>
      <c r="E23" s="222"/>
      <c r="F23" s="224" t="str">
        <f t="shared" si="0"/>
        <v/>
      </c>
      <c r="G23" s="224"/>
      <c r="H23" s="225" t="str">
        <f t="shared" si="1"/>
        <v/>
      </c>
      <c r="I23" s="226" t="str">
        <f t="shared" si="2"/>
        <v/>
      </c>
      <c r="J23" s="13"/>
    </row>
    <row r="24" spans="1:10" x14ac:dyDescent="0.4">
      <c r="A24" s="220"/>
      <c r="B24" s="220"/>
      <c r="C24" s="220"/>
      <c r="D24" s="221"/>
      <c r="E24" s="222"/>
      <c r="F24" s="224" t="str">
        <f t="shared" si="0"/>
        <v/>
      </c>
      <c r="G24" s="224"/>
      <c r="H24" s="225" t="str">
        <f t="shared" si="1"/>
        <v/>
      </c>
      <c r="I24" s="226" t="str">
        <f t="shared" si="2"/>
        <v/>
      </c>
      <c r="J24" s="13"/>
    </row>
    <row r="25" spans="1:10" x14ac:dyDescent="0.4">
      <c r="A25" s="220"/>
      <c r="B25" s="220"/>
      <c r="C25" s="220"/>
      <c r="D25" s="221"/>
      <c r="E25" s="222"/>
      <c r="F25" s="224" t="str">
        <f t="shared" si="0"/>
        <v/>
      </c>
      <c r="G25" s="224"/>
      <c r="H25" s="225" t="str">
        <f t="shared" si="1"/>
        <v/>
      </c>
      <c r="I25" s="226" t="str">
        <f t="shared" si="2"/>
        <v/>
      </c>
      <c r="J25" s="13"/>
    </row>
    <row r="26" spans="1:10" x14ac:dyDescent="0.4">
      <c r="A26" s="220"/>
      <c r="B26" s="220"/>
      <c r="C26" s="220"/>
      <c r="D26" s="221"/>
      <c r="E26" s="222"/>
      <c r="F26" s="224" t="str">
        <f t="shared" si="0"/>
        <v/>
      </c>
      <c r="G26" s="224"/>
      <c r="H26" s="225" t="str">
        <f t="shared" si="1"/>
        <v/>
      </c>
      <c r="I26" s="226" t="str">
        <f t="shared" si="2"/>
        <v/>
      </c>
      <c r="J26" s="13"/>
    </row>
    <row r="27" spans="1:10" x14ac:dyDescent="0.4">
      <c r="A27" s="220"/>
      <c r="B27" s="220"/>
      <c r="C27" s="220"/>
      <c r="D27" s="221"/>
      <c r="E27" s="222"/>
      <c r="F27" s="224" t="str">
        <f t="shared" si="0"/>
        <v/>
      </c>
      <c r="G27" s="224"/>
      <c r="H27" s="225" t="str">
        <f t="shared" si="1"/>
        <v/>
      </c>
      <c r="I27" s="226" t="str">
        <f t="shared" si="2"/>
        <v/>
      </c>
      <c r="J27" s="13"/>
    </row>
    <row r="28" spans="1:10" x14ac:dyDescent="0.4">
      <c r="A28" s="220"/>
      <c r="B28" s="220"/>
      <c r="C28" s="220"/>
      <c r="D28" s="221"/>
      <c r="E28" s="222"/>
      <c r="F28" s="224" t="str">
        <f t="shared" si="0"/>
        <v/>
      </c>
      <c r="G28" s="224"/>
      <c r="H28" s="225" t="str">
        <f t="shared" si="1"/>
        <v/>
      </c>
      <c r="I28" s="226" t="str">
        <f t="shared" si="2"/>
        <v/>
      </c>
      <c r="J28" s="13"/>
    </row>
    <row r="29" spans="1:10" x14ac:dyDescent="0.4">
      <c r="A29" s="220"/>
      <c r="B29" s="220"/>
      <c r="C29" s="220"/>
      <c r="D29" s="221"/>
      <c r="E29" s="222"/>
      <c r="F29" s="224" t="str">
        <f t="shared" si="0"/>
        <v/>
      </c>
      <c r="G29" s="224"/>
      <c r="H29" s="225" t="str">
        <f t="shared" si="1"/>
        <v/>
      </c>
      <c r="I29" s="226" t="str">
        <f t="shared" si="2"/>
        <v/>
      </c>
      <c r="J29" s="13"/>
    </row>
    <row r="30" spans="1:10" x14ac:dyDescent="0.4">
      <c r="A30" s="220"/>
      <c r="B30" s="220"/>
      <c r="C30" s="220"/>
      <c r="D30" s="221"/>
      <c r="E30" s="222"/>
      <c r="F30" s="224" t="str">
        <f t="shared" si="0"/>
        <v/>
      </c>
      <c r="G30" s="224"/>
      <c r="H30" s="225" t="str">
        <f t="shared" si="1"/>
        <v/>
      </c>
      <c r="I30" s="226" t="str">
        <f t="shared" si="2"/>
        <v/>
      </c>
      <c r="J30" s="13"/>
    </row>
    <row r="31" spans="1:10" x14ac:dyDescent="0.4">
      <c r="A31" s="220"/>
      <c r="B31" s="220"/>
      <c r="C31" s="220"/>
      <c r="D31" s="221"/>
      <c r="E31" s="222"/>
      <c r="F31" s="224" t="str">
        <f t="shared" si="0"/>
        <v/>
      </c>
      <c r="G31" s="224"/>
      <c r="H31" s="225" t="str">
        <f t="shared" si="1"/>
        <v/>
      </c>
      <c r="I31" s="226" t="str">
        <f t="shared" si="2"/>
        <v/>
      </c>
      <c r="J31" s="13"/>
    </row>
    <row r="32" spans="1:10" x14ac:dyDescent="0.4">
      <c r="A32" s="220"/>
      <c r="B32" s="220"/>
      <c r="C32" s="220"/>
      <c r="D32" s="221"/>
      <c r="E32" s="222"/>
      <c r="F32" s="224" t="str">
        <f t="shared" si="0"/>
        <v/>
      </c>
      <c r="G32" s="224"/>
      <c r="H32" s="225" t="str">
        <f t="shared" si="1"/>
        <v/>
      </c>
      <c r="I32" s="226" t="str">
        <f t="shared" si="2"/>
        <v/>
      </c>
      <c r="J32" s="13"/>
    </row>
    <row r="33" spans="1:10" x14ac:dyDescent="0.4">
      <c r="A33" s="220"/>
      <c r="B33" s="220"/>
      <c r="C33" s="220"/>
      <c r="D33" s="221"/>
      <c r="E33" s="222"/>
      <c r="F33" s="224" t="str">
        <f t="shared" si="0"/>
        <v/>
      </c>
      <c r="G33" s="224"/>
      <c r="H33" s="225" t="str">
        <f t="shared" si="1"/>
        <v/>
      </c>
      <c r="I33" s="226" t="str">
        <f t="shared" si="2"/>
        <v/>
      </c>
      <c r="J33" s="13"/>
    </row>
    <row r="34" spans="1:10" x14ac:dyDescent="0.4">
      <c r="A34" s="220"/>
      <c r="B34" s="220"/>
      <c r="C34" s="220"/>
      <c r="D34" s="221"/>
      <c r="E34" s="222"/>
      <c r="F34" s="224" t="str">
        <f t="shared" si="0"/>
        <v/>
      </c>
      <c r="G34" s="224"/>
      <c r="H34" s="225" t="str">
        <f t="shared" si="1"/>
        <v/>
      </c>
      <c r="I34" s="226" t="str">
        <f t="shared" si="2"/>
        <v/>
      </c>
      <c r="J34" s="13"/>
    </row>
    <row r="35" spans="1:10" x14ac:dyDescent="0.4">
      <c r="A35"/>
      <c r="B35"/>
      <c r="C35"/>
      <c r="D35"/>
      <c r="E35"/>
      <c r="F35"/>
      <c r="G35" s="281" t="s">
        <v>156</v>
      </c>
      <c r="H35" s="282"/>
      <c r="I35" s="198">
        <f>SUM(I10:I34)</f>
        <v>0</v>
      </c>
      <c r="J35" s="12">
        <f>SUM(J10:J34)</f>
        <v>0</v>
      </c>
    </row>
    <row r="38" spans="1:10" x14ac:dyDescent="0.4">
      <c r="F38" s="218"/>
      <c r="G38" s="218"/>
      <c r="H38" s="218"/>
      <c r="I38" s="218"/>
    </row>
    <row r="39" spans="1:10" x14ac:dyDescent="0.4">
      <c r="D39" s="219" t="s">
        <v>432</v>
      </c>
      <c r="F39" s="283" t="s">
        <v>431</v>
      </c>
      <c r="G39" s="284"/>
      <c r="H39" s="284"/>
      <c r="I39" s="284"/>
    </row>
  </sheetData>
  <sheetProtection sheet="1" selectLockedCells="1"/>
  <mergeCells count="7">
    <mergeCell ref="G2:J2"/>
    <mergeCell ref="G35:H35"/>
    <mergeCell ref="F39:I39"/>
    <mergeCell ref="C7:J7"/>
    <mergeCell ref="C4:J4"/>
    <mergeCell ref="C5:J5"/>
    <mergeCell ref="C6:J6"/>
  </mergeCells>
  <phoneticPr fontId="27" type="noConversion"/>
  <dataValidations count="13">
    <dataValidation allowBlank="1" showInputMessage="1" showErrorMessage="1" promptTitle="NAZIV" prompt="Upisuje se puno ime i prezime fizičke osobe/naziv ili ime nositelja OPG-a/naziv ili ime nositelja pravne osobe/zadruge." sqref="C4:J4"/>
    <dataValidation allowBlank="1" showInputMessage="1" showErrorMessage="1" promptTitle="OIB" prompt="Upisuje se OIB podnositelja zahtjeva." sqref="C5:J5"/>
    <dataValidation allowBlank="1" showInputMessage="1" showErrorMessage="1" promptTitle="MIBPG" prompt="Upisuje se MIBPG podnositelja zahtjeva. Ukoliko podnositelj ponude nije upisan u Upisnik poljoprivrednih gospodarstava, ostavlja se neispunjeno." sqref="C6:J6"/>
    <dataValidation allowBlank="1" showInputMessage="1" showErrorMessage="1" promptTitle="ZK ODJEL" prompt="Upisuje se ime ZK Odjela sukladno zemljišno-knjižnom izvatku proizvodno-tehnološke cjeline za koji se podnosi ponuda." sqref="C7:J7"/>
    <dataValidation allowBlank="1" showInputMessage="1" showErrorMessage="1" promptTitle="REDNI BROJ" prompt="Uobičajena numerička oznaka redoslijeda (1., 2., 3.,…)" sqref="A10:A34"/>
    <dataValidation allowBlank="1" showInputMessage="1" showErrorMessage="1" promptTitle="GLAVNA KNJIGA" prompt="Označava katastarsku općinu (sukladno oznaci na zemljišno-knjižnom izvatku) na čijem području se nalazi proizvodno-tehnološka cjelina koja je predmetom javnog poziva." sqref="B10:B34"/>
    <dataValidation allowBlank="1" showInputMessage="1" showErrorMessage="1" promptTitle="PROIZVODNO-TEHNOLOŠKA CJELINA" prompt="Označava jednu ili skup katastarskih čestica koje su predmetom javnog poziva. Označava se rednim brojem koji je definiran u tekstu javnog poziva." sqref="C10:C34"/>
    <dataValidation allowBlank="1" showInputMessage="1" showErrorMessage="1" promptTitle="POČETNA CIJENA" prompt="Izražava VISINU NAKNADE za proizvodno-tehnološku cjelinu sukladno objavi u tekstu javnog poziva, a sukladno Pravilniku o početnoj zakupnini poljoprivrednog zemljišta u vlasništvu RH za zakup i zakup za ribnjake te naknadi za vodu za ribnjake („NN“ 107/13)" sqref="E10:E34"/>
    <dataValidation allowBlank="1" showInputMessage="1" showErrorMessage="1" promptTitle="POVRŠINA" prompt="Prikazuje ukupnu površinu proizvodno-tehnološke cjeline iskazanu u ha." sqref="D10:D34 I10:I34"/>
    <dataValidation allowBlank="1" showInputMessage="1" showErrorMessage="1" promptTitle="KATASTARSKA OPĆINA" prompt="Za katastarsku općinu na čijem području se nalazi proizvodno-tehnološka cjelina koja je predmetom javnog poziva vrijedi podatak iz rubrike „Glavna knjiga“." sqref="F10:F34"/>
    <dataValidation allowBlank="1" showInputMessage="1" showErrorMessage="1" promptTitle="BROJ ČESTICE" prompt="Označava br. kč. koja je predmet  javnog poziva i čini proizvodno-tehnološku (PT) cjelinu (ako je PT cjelina sačinjena od većeg br. kč. , ostavlja se neispunjeno, a podrazumijeva se da se ponuda odnosi na kč. koje čine PT cjelinu)." sqref="G10:G34"/>
    <dataValidation allowBlank="1" showInputMessage="1" showErrorMessage="1" promptTitle="POČETNA CIJENA" prompt="Označava pojedinačnu cijenu katastarske čestice  sukladno Pravilniku o početnoj zakupnini poljoprivrednog zemljišta u vlasništvu RH za zakup i zakup za ribnjake te naknadi za vodu za ribnjake („NN“ 107/13) i navedene su u Prilogu 1. teksta Javnog poziva." sqref="H10:H34"/>
    <dataValidation allowBlank="1" showInputMessage="1" showErrorMessage="1" promptTitle="PONUĐENA CIJENA" prompt="Najmanja ponuđena cijena je početna cijena iz Pravilnika o početnoj zakupnini poljoprivrednog zemljišta… („NN“ 107/13) s uvećanjem od 20% ukoliko je obuhvaćena sustavom navodnjavanja, a najviša cijena je maksimalno do dvostruke početne cijene." sqref="J10:J34"/>
  </dataValidations>
  <pageMargins left="0.70866141732283472" right="0.70866141732283472" top="1.1417322834645669" bottom="0.74803149606299213" header="0.31496062992125984" footer="0.31496062992125984"/>
  <pageSetup paperSize="9" scale="73" orientation="landscape" r:id="rId1"/>
  <headerFooter>
    <oddHeader>&amp;L&amp;G&amp;C
OBRAZAC GOSPODARSKOG PROGRAMA ZA
 KORIŠTENJE POLJOPRIVREDNOG ZEMLJIŠTA U
 VLASNIŠTVU DRŽAVE
&amp;R
Stranica &amp;P od &amp;N
&amp;A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C1" zoomScale="145" zoomScaleNormal="145" workbookViewId="0">
      <selection activeCell="G12" sqref="G12"/>
    </sheetView>
  </sheetViews>
  <sheetFormatPr defaultRowHeight="15" x14ac:dyDescent="0.4"/>
  <cols>
    <col min="1" max="2" width="35.75" customWidth="1"/>
    <col min="3" max="3" width="24.83203125" customWidth="1"/>
    <col min="4" max="4" width="25" customWidth="1"/>
    <col min="6" max="7" width="9.5" bestFit="1" customWidth="1"/>
  </cols>
  <sheetData>
    <row r="1" spans="1:14" ht="15.5" thickBot="1" x14ac:dyDescent="0.45">
      <c r="A1" s="167" t="s">
        <v>395</v>
      </c>
      <c r="B1" s="167"/>
      <c r="C1" s="167" t="s">
        <v>396</v>
      </c>
      <c r="D1" s="167" t="s">
        <v>397</v>
      </c>
    </row>
    <row r="2" spans="1:14" ht="30.75" customHeight="1" thickBot="1" x14ac:dyDescent="0.45">
      <c r="A2" s="475" t="s">
        <v>319</v>
      </c>
      <c r="B2" s="177"/>
      <c r="C2" s="169">
        <v>10</v>
      </c>
      <c r="D2" s="169">
        <v>20</v>
      </c>
      <c r="F2" t="str">
        <f>IF(IDENTIFIKACIJA!B32=POPISI!D5,"DA","NE")</f>
        <v>NE</v>
      </c>
      <c r="G2">
        <f>SUM(GOSPODARSKI_PROGRAM!B23,GOSPODARSKI_PROGRAM!B25,GOSPODARSKI_PROGRAM!B26)</f>
        <v>0</v>
      </c>
      <c r="I2">
        <f>SUM(snaga)</f>
        <v>0</v>
      </c>
    </row>
    <row r="3" spans="1:14" ht="15.5" thickBot="1" x14ac:dyDescent="0.45">
      <c r="A3" s="477"/>
      <c r="B3" s="168"/>
      <c r="C3" s="169">
        <v>20</v>
      </c>
      <c r="D3" s="169">
        <v>30</v>
      </c>
      <c r="F3" t="b">
        <f>IF(AND($F$2="DA",G2&gt;0,G2&lt;10),D2,IF(AND($F$2="DA",G2&gt;=10,G2&lt;20),D3,IF(AND($F$2="DA",G2&gt;=20,G2&lt;50),D4,IF(AND($F$2="DA",G2&gt;50),(D4+(G2-C4)/C4*20)))))</f>
        <v>0</v>
      </c>
      <c r="H3" t="s">
        <v>424</v>
      </c>
      <c r="I3" s="208" t="str">
        <f>IF(AND(F2="DA",I2&gt;=F3),"POSTOJI","")</f>
        <v/>
      </c>
      <c r="L3" t="str">
        <f>IF(OR(IDENTIFIKACIJA!B32=POPISI!D6,IDENTIFIKACIJA!B32=POPISI!D7,IDENTIFIKACIJA!B32=POPISI!D8,IDENTIFIKACIJA!B32=POPISI!D9),"DA","NE")</f>
        <v>NE</v>
      </c>
      <c r="M3">
        <f>SUM(G2,G5,G7,G11)</f>
        <v>0</v>
      </c>
    </row>
    <row r="4" spans="1:14" ht="15.5" thickBot="1" x14ac:dyDescent="0.45">
      <c r="A4" s="476"/>
      <c r="B4" s="169"/>
      <c r="C4" s="169">
        <v>50</v>
      </c>
      <c r="D4" s="169">
        <v>40</v>
      </c>
      <c r="H4" t="s">
        <v>425</v>
      </c>
      <c r="I4" s="208" t="str">
        <f>IF(AND($F$2="DA",I2&gt;=F6),"POSTOJI","")</f>
        <v/>
      </c>
      <c r="M4" t="b">
        <f>IF(AND($L$3="DA",G2&gt;0,G2&lt;10),D2,IF(AND($L$3="DA",G2&gt;=10,G2&lt;20),D3,IF(AND($L$3="DA",G2&gt;=20,G2&lt;50),D4,IF(AND($L$3="DA",G2&gt;50),(D4+(G2-C4)/C4*20)))))</f>
        <v>0</v>
      </c>
      <c r="N4" t="s">
        <v>424</v>
      </c>
    </row>
    <row r="5" spans="1:14" ht="15.5" thickBot="1" x14ac:dyDescent="0.45">
      <c r="A5" s="475" t="s">
        <v>413</v>
      </c>
      <c r="B5" s="177"/>
      <c r="C5" s="169">
        <v>2</v>
      </c>
      <c r="D5" s="169">
        <v>20</v>
      </c>
      <c r="G5">
        <f>GOSPODARSKI_PROGRAM!B24</f>
        <v>0</v>
      </c>
      <c r="H5" t="s">
        <v>426</v>
      </c>
      <c r="I5" s="208" t="str">
        <f>IF(AND(F7="DA",I2&gt;=F8),"POSTOJI","")</f>
        <v/>
      </c>
      <c r="M5" t="b">
        <f>IF(AND($L$3="DA",G5&gt;0,G5&lt;2),D5,IF(AND($L$3="DA",G5&gt;=2,G5&lt;5),D6,IF(AND($L$3="DA",G5&gt;5),(D6+(G5-C6)/C6*20))))</f>
        <v>0</v>
      </c>
      <c r="N5" t="s">
        <v>425</v>
      </c>
    </row>
    <row r="6" spans="1:14" ht="15.5" thickBot="1" x14ac:dyDescent="0.45">
      <c r="A6" s="476"/>
      <c r="B6" s="169"/>
      <c r="C6" s="169">
        <v>5</v>
      </c>
      <c r="D6" s="169">
        <v>30</v>
      </c>
      <c r="F6" t="b">
        <f>IF(AND($F$2="DA",G5&gt;0,G5&lt;2),D5,IF(AND($F$2="DA",G5&gt;=2,G5&lt;5),D6,IF(AND($F$2="DA",G5&gt;5),(D6+(G5-C6)/C6*20))))</f>
        <v>0</v>
      </c>
      <c r="H6" t="s">
        <v>427</v>
      </c>
      <c r="I6" s="208" t="str">
        <f>IF(AND(F11="DA",$I$2&gt;=$F$12),"POSTOJI","")</f>
        <v/>
      </c>
      <c r="M6" t="b">
        <f>IF(AND($L$3="DA",G7&gt;0,G7&lt;2),D8,IF(AND($L$3="DA",G7&gt;=2,G7&lt;10),D9,IF(AND($L$3="DA",G7&gt;=10,G7&lt;=30),D10,IF(AND(L3="DA",G7&gt;30),(D9+(G7-C9)/C9*20)))))</f>
        <v>0</v>
      </c>
      <c r="N6" t="s">
        <v>426</v>
      </c>
    </row>
    <row r="7" spans="1:14" ht="15.5" thickBot="1" x14ac:dyDescent="0.45">
      <c r="A7" s="169" t="s">
        <v>348</v>
      </c>
      <c r="B7" s="169"/>
      <c r="C7" s="169" t="s">
        <v>398</v>
      </c>
      <c r="D7" s="169">
        <v>30</v>
      </c>
      <c r="F7" t="str">
        <f>IF(IDENTIFIKACIJA!B32=POPISI!D4,"DA","NE")</f>
        <v>NE</v>
      </c>
      <c r="G7">
        <f>SUM(GOSPODARSKI_PROGRAM!B21:B22)</f>
        <v>0</v>
      </c>
      <c r="M7" t="b">
        <f>IF(AND($L$3="DA",G11&gt;0,G11&lt;C11),D11,IF(AND(G11&gt;C11,$L$3="DA"),D11+(G11-C11)/C11*20))</f>
        <v>0</v>
      </c>
      <c r="N7" t="s">
        <v>170</v>
      </c>
    </row>
    <row r="8" spans="1:14" ht="15.5" thickBot="1" x14ac:dyDescent="0.45">
      <c r="A8" s="475" t="s">
        <v>348</v>
      </c>
      <c r="B8" s="177"/>
      <c r="C8" s="169">
        <v>2</v>
      </c>
      <c r="D8" s="169">
        <v>20</v>
      </c>
      <c r="F8" t="b">
        <f>IF(AND($F$7="DA",G7&gt;0,G7&lt;2),D8,IF(AND($F$7="DA",G7&gt;=2,G7&lt;10),D9,IF(AND($F$7="DA",G7&gt;=10,G7&lt;=30),D10,IF(AND(F7="DA",G7&gt;30),(D9+(G7-C9)/C9*20)))))</f>
        <v>0</v>
      </c>
      <c r="H8" t="s">
        <v>428</v>
      </c>
      <c r="I8" s="208" t="str">
        <f>IF(AND(F13="DA",I2&gt;=$F$27),"POSTOJI","")</f>
        <v/>
      </c>
      <c r="M8">
        <f>SUM(M4:M7)</f>
        <v>0</v>
      </c>
      <c r="N8" t="s">
        <v>430</v>
      </c>
    </row>
    <row r="9" spans="1:14" ht="15.5" thickBot="1" x14ac:dyDescent="0.45">
      <c r="A9" s="477"/>
      <c r="B9" s="168"/>
      <c r="C9" s="169">
        <v>10</v>
      </c>
      <c r="D9" s="169">
        <v>40</v>
      </c>
      <c r="H9" t="s">
        <v>429</v>
      </c>
      <c r="I9" s="208" t="str">
        <f>IF(AND(L3="DA",I2&gt;=M8),"POSTOJI","")</f>
        <v/>
      </c>
    </row>
    <row r="10" spans="1:14" ht="15.5" thickBot="1" x14ac:dyDescent="0.45">
      <c r="A10" s="476"/>
      <c r="B10" s="169"/>
      <c r="C10" s="169">
        <v>30</v>
      </c>
      <c r="D10" s="169">
        <v>50</v>
      </c>
    </row>
    <row r="11" spans="1:14" x14ac:dyDescent="0.4">
      <c r="A11" s="475" t="s">
        <v>315</v>
      </c>
      <c r="B11" s="177"/>
      <c r="C11" s="168">
        <v>1500</v>
      </c>
      <c r="D11" s="170">
        <v>50</v>
      </c>
      <c r="F11" t="str">
        <f>IF(IDENTIFIKACIJA!B32=POPISI!D3,"DA","NE")</f>
        <v>NE</v>
      </c>
      <c r="G11" s="216">
        <f>GOSPODARSKI_PROGRAM!C20+GOSPODARSKI_PROGRAM!C27</f>
        <v>0</v>
      </c>
    </row>
    <row r="12" spans="1:14" ht="15.5" thickBot="1" x14ac:dyDescent="0.45">
      <c r="A12" s="476"/>
      <c r="B12" s="169"/>
      <c r="C12" s="169" t="s">
        <v>399</v>
      </c>
      <c r="D12" s="169"/>
      <c r="F12" s="176" t="b">
        <f>IF(AND($F$11="DA",G11&gt;0,G11&lt;C11),D11,IF(AND(G11&gt;C11,$F$11="DA"),D11+(G11-C11)/C11*20))</f>
        <v>0</v>
      </c>
    </row>
    <row r="13" spans="1:14" ht="15.5" thickBot="1" x14ac:dyDescent="0.45">
      <c r="A13" s="177"/>
      <c r="B13" s="177"/>
      <c r="C13" s="169"/>
      <c r="D13" s="169"/>
      <c r="F13" t="str">
        <f>IF(IDENTIFIKACIJA!B32=POPISI!D2,"DA","NE")</f>
        <v>NE</v>
      </c>
      <c r="I13" t="str">
        <f>IF(AND(F13="DA",$I$2&gt;$F$27),"POSTOJI","")</f>
        <v/>
      </c>
    </row>
    <row r="14" spans="1:14" ht="15.5" thickBot="1" x14ac:dyDescent="0.45">
      <c r="A14" s="475" t="s">
        <v>313</v>
      </c>
      <c r="B14" s="180" t="s">
        <v>415</v>
      </c>
      <c r="C14" s="181">
        <v>50</v>
      </c>
      <c r="D14" s="181">
        <v>40</v>
      </c>
      <c r="E14" s="182"/>
      <c r="F14" s="182" t="b">
        <f>IF(AND($F$13="DA",G14&gt;0,G14&lt;C14),D14,IF(AND($F$13="DA",G14&gt;=C14,G14&lt;C15),D15,IF(AND(F13="DA",G14&gt;C15),(D15+(G14-C15)/C15*20))))</f>
        <v>0</v>
      </c>
      <c r="G14">
        <f>GOSPODARSKI_PROGRAM!B31</f>
        <v>0</v>
      </c>
    </row>
    <row r="15" spans="1:14" ht="15.5" thickBot="1" x14ac:dyDescent="0.45">
      <c r="A15" s="477"/>
      <c r="B15" s="183" t="s">
        <v>415</v>
      </c>
      <c r="C15" s="181">
        <v>150</v>
      </c>
      <c r="D15" s="181">
        <v>50</v>
      </c>
      <c r="E15" s="182"/>
      <c r="G15" s="182"/>
    </row>
    <row r="16" spans="1:14" ht="15.5" thickBot="1" x14ac:dyDescent="0.45">
      <c r="A16" s="477"/>
      <c r="B16" s="178" t="s">
        <v>414</v>
      </c>
      <c r="C16" s="179">
        <v>150</v>
      </c>
      <c r="D16" s="179">
        <v>30</v>
      </c>
      <c r="E16" s="90"/>
      <c r="F16" s="90" t="b">
        <f>IF(AND($F$13="DA",G16&gt;0,G16&lt;C16),D16,IF(AND($F$13="DA",G16&gt;=C16,G16&lt;C17),D17,IF(AND($F$13="DA",G16&gt;C17),(D17+(G16-C17)/C17*20))))</f>
        <v>0</v>
      </c>
      <c r="G16" s="90">
        <f>SUM(GOSPODARSKI_PROGRAM!B36:B37)</f>
        <v>0</v>
      </c>
    </row>
    <row r="17" spans="1:7" ht="15.5" thickBot="1" x14ac:dyDescent="0.45">
      <c r="A17" s="478"/>
      <c r="B17" s="179" t="s">
        <v>414</v>
      </c>
      <c r="C17" s="179">
        <v>350</v>
      </c>
      <c r="D17" s="179">
        <v>40</v>
      </c>
      <c r="E17" s="90"/>
      <c r="F17" s="90"/>
      <c r="G17" s="90"/>
    </row>
    <row r="18" spans="1:7" ht="15.5" thickBot="1" x14ac:dyDescent="0.45">
      <c r="A18" s="479"/>
      <c r="B18" s="188" t="s">
        <v>416</v>
      </c>
      <c r="C18" s="188">
        <v>300</v>
      </c>
      <c r="D18" s="188">
        <v>50</v>
      </c>
      <c r="E18" s="189"/>
      <c r="F18" s="189" t="b">
        <f>IF(AND(F13="DA",G18&gt;0,G18&lt;C18),D18,IF(AND($F$13="da",G18&gt;=C18),D18+(G18-C18)/C18*20))</f>
        <v>0</v>
      </c>
      <c r="G18" s="189">
        <f>SUM(GOSPODARSKI_PROGRAM!B32:B33)</f>
        <v>0</v>
      </c>
    </row>
    <row r="19" spans="1:7" ht="15.5" thickBot="1" x14ac:dyDescent="0.45">
      <c r="A19" s="479"/>
      <c r="B19" s="186" t="s">
        <v>417</v>
      </c>
      <c r="C19" s="184">
        <v>100</v>
      </c>
      <c r="D19" s="184">
        <v>40</v>
      </c>
      <c r="E19" s="185"/>
      <c r="F19" s="185" t="b">
        <f>IF(AND($F$13="DA",G19&gt;0,G19&lt;C19),D19,IF(AND($F$13="DA",G19&gt;=C19,G19&lt;C20),D20,IF(G19&gt;C20,D20+(G19-C20)/C20*20)))</f>
        <v>0</v>
      </c>
      <c r="G19" s="185">
        <f>GOSPODARSKI_PROGRAM!B34</f>
        <v>0</v>
      </c>
    </row>
    <row r="20" spans="1:7" ht="15.5" thickBot="1" x14ac:dyDescent="0.45">
      <c r="A20" s="479"/>
      <c r="B20" s="187" t="s">
        <v>417</v>
      </c>
      <c r="C20" s="184">
        <v>300</v>
      </c>
      <c r="D20" s="184">
        <v>50</v>
      </c>
      <c r="E20" s="185"/>
      <c r="F20" s="185"/>
      <c r="G20" s="185"/>
    </row>
    <row r="21" spans="1:7" ht="15.5" thickBot="1" x14ac:dyDescent="0.45">
      <c r="A21" s="479"/>
      <c r="B21" s="190" t="s">
        <v>418</v>
      </c>
      <c r="C21" s="191">
        <v>1000</v>
      </c>
      <c r="D21" s="191">
        <v>40</v>
      </c>
      <c r="E21" s="174"/>
      <c r="F21" s="174" t="b">
        <f>IF(AND($F$13="DA",G21&gt;0,G21&lt;C21),D21,IF(AND($F$13="DA",G21&gt;=C21,G21&lt;C22),D22,IF(G21&gt;C22,D22+(G21-C22)/C22*20)))</f>
        <v>0</v>
      </c>
      <c r="G21" s="174">
        <f>GOSPODARSKI_PROGRAM!B35</f>
        <v>0</v>
      </c>
    </row>
    <row r="22" spans="1:7" ht="15.5" thickBot="1" x14ac:dyDescent="0.45">
      <c r="A22" s="479"/>
      <c r="B22" s="191" t="s">
        <v>418</v>
      </c>
      <c r="C22" s="191">
        <v>2000</v>
      </c>
      <c r="D22" s="191">
        <v>50</v>
      </c>
      <c r="E22" s="174"/>
      <c r="F22" s="174"/>
      <c r="G22" s="174"/>
    </row>
    <row r="23" spans="1:7" ht="15.5" thickBot="1" x14ac:dyDescent="0.45">
      <c r="A23" s="479"/>
      <c r="B23" s="192" t="s">
        <v>419</v>
      </c>
      <c r="C23" s="188">
        <v>20000</v>
      </c>
      <c r="D23" s="188">
        <v>30</v>
      </c>
      <c r="E23" s="189"/>
      <c r="F23" s="189" t="b">
        <f>IF(AND($F$13="DA",G23&gt;0,G23&lt;C23),D23,IF(AND($F$13="DA",G23&gt;=C23,G23&lt;C24),D24,IF(G23&gt;C24,D24+(G23-C24)/C24*20)))</f>
        <v>0</v>
      </c>
      <c r="G23" s="189">
        <f>GOSPODARSKI_PROGRAM!B38</f>
        <v>0</v>
      </c>
    </row>
    <row r="24" spans="1:7" ht="15.5" thickBot="1" x14ac:dyDescent="0.45">
      <c r="A24" s="479"/>
      <c r="B24" s="188" t="s">
        <v>419</v>
      </c>
      <c r="C24" s="188">
        <v>40000</v>
      </c>
      <c r="D24" s="188">
        <v>40</v>
      </c>
      <c r="E24" s="189"/>
      <c r="F24" s="189"/>
      <c r="G24" s="189"/>
    </row>
    <row r="25" spans="1:7" ht="15.5" thickBot="1" x14ac:dyDescent="0.45">
      <c r="A25" s="479"/>
      <c r="B25" s="193" t="s">
        <v>420</v>
      </c>
      <c r="C25" s="194">
        <v>20000</v>
      </c>
      <c r="D25" s="195">
        <v>30</v>
      </c>
      <c r="E25" s="95"/>
      <c r="F25" s="95" t="b">
        <f>IF(AND($F$13="DA",G25&gt;0,G25&lt;C25),D25,IF(AND($F$13="DA",G25&gt;=C25,G25&lt;C26),D26,IF(G25&gt;C26,D26+(G25-C26)/C26*20)))</f>
        <v>0</v>
      </c>
      <c r="G25" s="95">
        <f>GOSPODARSKI_PROGRAM!B39</f>
        <v>0</v>
      </c>
    </row>
    <row r="26" spans="1:7" ht="15.5" thickBot="1" x14ac:dyDescent="0.45">
      <c r="A26" s="479"/>
      <c r="B26" s="194" t="s">
        <v>420</v>
      </c>
      <c r="C26" s="194">
        <v>40000</v>
      </c>
      <c r="D26" s="195">
        <v>40</v>
      </c>
      <c r="E26" s="95"/>
      <c r="F26" s="95"/>
      <c r="G26" s="95"/>
    </row>
    <row r="27" spans="1:7" x14ac:dyDescent="0.4">
      <c r="A27" s="168"/>
      <c r="B27" s="168"/>
      <c r="C27" s="168" t="s">
        <v>400</v>
      </c>
      <c r="D27" s="475">
        <v>30</v>
      </c>
      <c r="F27">
        <f>SUM(F25,F23,F21,F18,F16,F14)</f>
        <v>0</v>
      </c>
    </row>
    <row r="28" spans="1:7" ht="15.5" thickBot="1" x14ac:dyDescent="0.45">
      <c r="A28" s="168"/>
      <c r="B28" s="168"/>
      <c r="C28" s="169" t="s">
        <v>401</v>
      </c>
      <c r="D28" s="476"/>
    </row>
    <row r="29" spans="1:7" x14ac:dyDescent="0.4">
      <c r="A29" s="168"/>
      <c r="B29" s="168"/>
      <c r="C29" s="168" t="s">
        <v>402</v>
      </c>
      <c r="D29" s="475">
        <v>40</v>
      </c>
    </row>
    <row r="30" spans="1:7" ht="15.5" thickBot="1" x14ac:dyDescent="0.45">
      <c r="A30" s="169"/>
      <c r="B30" s="169"/>
      <c r="C30" s="169" t="s">
        <v>401</v>
      </c>
      <c r="D30" s="476"/>
    </row>
  </sheetData>
  <mergeCells count="7">
    <mergeCell ref="D29:D30"/>
    <mergeCell ref="A2:A4"/>
    <mergeCell ref="A5:A6"/>
    <mergeCell ref="A8:A10"/>
    <mergeCell ref="A11:A12"/>
    <mergeCell ref="A14:A26"/>
    <mergeCell ref="D27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0" tint="-0.499984740745262"/>
  </sheetPr>
  <dimension ref="A1:K44"/>
  <sheetViews>
    <sheetView showGridLines="0" showRowColHeaders="0" view="pageBreakPreview" zoomScale="145" zoomScaleNormal="130" zoomScaleSheetLayoutView="145" workbookViewId="0">
      <selection activeCell="B31" sqref="B31"/>
    </sheetView>
  </sheetViews>
  <sheetFormatPr defaultColWidth="9" defaultRowHeight="14" x14ac:dyDescent="0.3"/>
  <cols>
    <col min="1" max="1" width="59.08203125" style="112" bestFit="1" customWidth="1"/>
    <col min="2" max="2" width="34.75" style="112" customWidth="1"/>
    <col min="3" max="3" width="26.08203125" style="112" customWidth="1"/>
    <col min="4" max="4" width="9" style="112"/>
    <col min="5" max="5" width="16.75" style="112" customWidth="1"/>
    <col min="6" max="6" width="39.75" style="112" customWidth="1"/>
    <col min="7" max="10" width="9" style="112"/>
    <col min="11" max="11" width="25.58203125" style="112" customWidth="1"/>
    <col min="12" max="16384" width="9" style="112"/>
  </cols>
  <sheetData>
    <row r="1" spans="1:11" ht="18" thickBot="1" x14ac:dyDescent="0.35">
      <c r="A1" s="110"/>
      <c r="B1" s="111" t="s">
        <v>229</v>
      </c>
    </row>
    <row r="2" spans="1:11" ht="18" thickBot="1" x14ac:dyDescent="0.35">
      <c r="A2" s="287" t="s">
        <v>202</v>
      </c>
      <c r="B2" s="288"/>
    </row>
    <row r="3" spans="1:11" x14ac:dyDescent="0.3">
      <c r="A3" s="289" t="s">
        <v>206</v>
      </c>
      <c r="B3" s="290"/>
    </row>
    <row r="4" spans="1:11" x14ac:dyDescent="0.3">
      <c r="A4" s="113" t="s">
        <v>208</v>
      </c>
      <c r="B4" s="200"/>
    </row>
    <row r="5" spans="1:11" x14ac:dyDescent="0.3">
      <c r="A5" s="113" t="s">
        <v>209</v>
      </c>
      <c r="B5" s="115"/>
    </row>
    <row r="6" spans="1:11" x14ac:dyDescent="0.3">
      <c r="A6" s="113" t="s">
        <v>210</v>
      </c>
      <c r="B6" s="166"/>
    </row>
    <row r="7" spans="1:11" x14ac:dyDescent="0.3">
      <c r="A7" s="113" t="s">
        <v>211</v>
      </c>
      <c r="B7" s="117"/>
    </row>
    <row r="8" spans="1:11" x14ac:dyDescent="0.3">
      <c r="A8" s="113" t="s">
        <v>203</v>
      </c>
      <c r="B8" s="117"/>
    </row>
    <row r="9" spans="1:11" x14ac:dyDescent="0.3">
      <c r="A9" s="113" t="s">
        <v>212</v>
      </c>
      <c r="B9" s="117"/>
    </row>
    <row r="10" spans="1:11" x14ac:dyDescent="0.3">
      <c r="A10" s="113" t="s">
        <v>184</v>
      </c>
      <c r="B10" s="141"/>
      <c r="C10" s="118"/>
      <c r="G10" s="119" t="str">
        <f>IF(AND(OR(B10="NE",B10=""),OR(B12="NE",B12="")),"",IF(AND(B10="DA",B11&lt;&gt;"",OR(B12="NE",B12="")),1,IF(AND(OR(B10="NE",B10=""),B12="DA",B13&lt;&gt;""),2,IF(AND(B10="DA",B11&lt;&gt;"",B12="DA",B13&lt;&gt;""),3))))</f>
        <v/>
      </c>
    </row>
    <row r="11" spans="1:11" x14ac:dyDescent="0.3">
      <c r="A11" s="113" t="s">
        <v>186</v>
      </c>
      <c r="B11" s="117"/>
    </row>
    <row r="12" spans="1:11" x14ac:dyDescent="0.3">
      <c r="A12" s="113" t="s">
        <v>185</v>
      </c>
      <c r="B12" s="141"/>
      <c r="C12" s="118"/>
    </row>
    <row r="13" spans="1:11" ht="14.5" thickBot="1" x14ac:dyDescent="0.35">
      <c r="A13" s="120" t="s">
        <v>187</v>
      </c>
      <c r="B13" s="121"/>
    </row>
    <row r="14" spans="1:11" x14ac:dyDescent="0.3">
      <c r="A14" s="289" t="s">
        <v>204</v>
      </c>
      <c r="B14" s="290"/>
      <c r="E14" s="122"/>
      <c r="K14" s="122"/>
    </row>
    <row r="15" spans="1:11" x14ac:dyDescent="0.3">
      <c r="A15" s="113" t="s">
        <v>207</v>
      </c>
      <c r="B15" s="166"/>
      <c r="E15" s="122"/>
      <c r="K15" s="122"/>
    </row>
    <row r="16" spans="1:11" x14ac:dyDescent="0.3">
      <c r="A16" s="113" t="s">
        <v>214</v>
      </c>
      <c r="B16" s="166"/>
    </row>
    <row r="17" spans="1:5" x14ac:dyDescent="0.3">
      <c r="A17" s="113" t="s">
        <v>215</v>
      </c>
      <c r="B17" s="200"/>
      <c r="E17" s="122"/>
    </row>
    <row r="18" spans="1:5" ht="14.5" thickBot="1" x14ac:dyDescent="0.35">
      <c r="A18" s="120" t="s">
        <v>216</v>
      </c>
      <c r="B18" s="123"/>
    </row>
    <row r="19" spans="1:5" x14ac:dyDescent="0.3">
      <c r="A19" s="289" t="s">
        <v>205</v>
      </c>
      <c r="B19" s="290"/>
    </row>
    <row r="20" spans="1:5" x14ac:dyDescent="0.3">
      <c r="A20" s="113" t="s">
        <v>217</v>
      </c>
      <c r="B20" s="114"/>
      <c r="E20" s="122"/>
    </row>
    <row r="21" spans="1:5" x14ac:dyDescent="0.3">
      <c r="A21" s="113" t="s">
        <v>218</v>
      </c>
      <c r="B21" s="116"/>
      <c r="E21" s="122"/>
    </row>
    <row r="22" spans="1:5" x14ac:dyDescent="0.3">
      <c r="A22" s="113" t="s">
        <v>2</v>
      </c>
      <c r="B22" s="116"/>
      <c r="E22" s="122"/>
    </row>
    <row r="23" spans="1:5" x14ac:dyDescent="0.3">
      <c r="A23" s="113" t="s">
        <v>219</v>
      </c>
      <c r="B23" s="116"/>
      <c r="E23" s="122"/>
    </row>
    <row r="24" spans="1:5" x14ac:dyDescent="0.3">
      <c r="A24" s="113" t="s">
        <v>220</v>
      </c>
      <c r="B24" s="115"/>
      <c r="E24" s="124"/>
    </row>
    <row r="25" spans="1:5" ht="14.5" thickBot="1" x14ac:dyDescent="0.35">
      <c r="A25" s="120" t="s">
        <v>221</v>
      </c>
      <c r="B25" s="142"/>
      <c r="E25" s="122"/>
    </row>
    <row r="26" spans="1:5" x14ac:dyDescent="0.3">
      <c r="A26" s="289" t="s">
        <v>231</v>
      </c>
      <c r="B26" s="290"/>
    </row>
    <row r="27" spans="1:5" x14ac:dyDescent="0.3">
      <c r="A27" s="113" t="s">
        <v>222</v>
      </c>
      <c r="B27" s="166"/>
    </row>
    <row r="28" spans="1:5" x14ac:dyDescent="0.3">
      <c r="A28" s="113" t="s">
        <v>223</v>
      </c>
      <c r="B28" s="166"/>
    </row>
    <row r="29" spans="1:5" x14ac:dyDescent="0.3">
      <c r="A29" s="113" t="s">
        <v>224</v>
      </c>
      <c r="B29" s="166"/>
    </row>
    <row r="30" spans="1:5" x14ac:dyDescent="0.3">
      <c r="A30" s="113" t="s">
        <v>225</v>
      </c>
      <c r="B30" s="200"/>
    </row>
    <row r="31" spans="1:5" ht="15.5" thickBot="1" x14ac:dyDescent="0.45">
      <c r="A31" s="120" t="s">
        <v>226</v>
      </c>
      <c r="B31" s="201"/>
    </row>
    <row r="32" spans="1:5" x14ac:dyDescent="0.3">
      <c r="A32" s="125" t="s">
        <v>213</v>
      </c>
      <c r="B32" s="217"/>
    </row>
    <row r="33" spans="1:2" x14ac:dyDescent="0.3">
      <c r="A33" s="126" t="s">
        <v>173</v>
      </c>
      <c r="B33" s="127" t="s">
        <v>174</v>
      </c>
    </row>
    <row r="34" spans="1:2" x14ac:dyDescent="0.3">
      <c r="A34" s="128"/>
      <c r="B34" s="129"/>
    </row>
    <row r="35" spans="1:2" x14ac:dyDescent="0.3">
      <c r="A35" s="128"/>
      <c r="B35" s="129"/>
    </row>
    <row r="36" spans="1:2" x14ac:dyDescent="0.3">
      <c r="A36" s="128"/>
      <c r="B36" s="129"/>
    </row>
    <row r="37" spans="1:2" x14ac:dyDescent="0.3">
      <c r="A37" s="128"/>
      <c r="B37" s="129"/>
    </row>
    <row r="38" spans="1:2" x14ac:dyDescent="0.3">
      <c r="A38" s="128"/>
      <c r="B38" s="129"/>
    </row>
    <row r="39" spans="1:2" ht="14.5" thickBot="1" x14ac:dyDescent="0.35">
      <c r="A39" s="130"/>
      <c r="B39" s="131"/>
    </row>
    <row r="40" spans="1:2" x14ac:dyDescent="0.3">
      <c r="A40" s="132" t="s">
        <v>158</v>
      </c>
      <c r="B40" s="133"/>
    </row>
    <row r="41" spans="1:2" ht="14.5" thickBot="1" x14ac:dyDescent="0.35">
      <c r="A41" s="120" t="s">
        <v>230</v>
      </c>
      <c r="B41" s="223" t="str">
        <f>IF(PONUDA!C5="","",PONUDA!C5)</f>
        <v/>
      </c>
    </row>
    <row r="43" spans="1:2" x14ac:dyDescent="0.3">
      <c r="A43" s="134"/>
      <c r="B43" s="135"/>
    </row>
    <row r="44" spans="1:2" x14ac:dyDescent="0.3">
      <c r="A44" s="112" t="s">
        <v>232</v>
      </c>
    </row>
  </sheetData>
  <sheetProtection sheet="1" selectLockedCells="1"/>
  <mergeCells count="5">
    <mergeCell ref="A2:B2"/>
    <mergeCell ref="A26:B26"/>
    <mergeCell ref="A3:B3"/>
    <mergeCell ref="A19:B19"/>
    <mergeCell ref="A14:B14"/>
  </mergeCells>
  <phoneticPr fontId="27" type="noConversion"/>
  <dataValidations count="25">
    <dataValidation type="list" allowBlank="1" showInputMessage="1" showErrorMessage="1" promptTitle="OSTALA PROIZVODNJA" prompt="Odabrati ostalu proizvodnju iz padajućeg izbornika." sqref="A39">
      <formula1>vrsta</formula1>
    </dataValidation>
    <dataValidation type="list" allowBlank="1" showInputMessage="1" showErrorMessage="1" promptTitle="PRIMARNA DJELATNOST" prompt="Odabrati ponuđeno iz  padajućeg izbornika. Ispunjavaju  pravne osobe, obrti i zadruge, sukladno NKD-u." sqref="B25">
      <formula1>"DA,NE"</formula1>
    </dataValidation>
    <dataValidation type="date" operator="greaterThan" allowBlank="1" showInputMessage="1" showErrorMessage="1" errorTitle="POGREŠAN NAČIN PISANJA DATUMA" error="Molim upisati datum bez točke iza godine, npr. &quot;12.3.2004&quot;" promptTitle="DATUM REGISTRACIJE" prompt="Upisuje se datum registracije sukladno Izvatku iz sudskog registra." sqref="B24">
      <formula1>1</formula1>
    </dataValidation>
    <dataValidation type="list" allowBlank="1" showInputMessage="1" showErrorMessage="1" promptTitle="STRUČNA SPREMA NOSITELJA" prompt="Osoba na koju se ostvaruju bodovi po ovoj sastavnici mora biti član OPG-a, odnosno zaposlen u obrtu ili pravnoj osobi, član zadruge najmanje godinu dana od prijave na javni poziv. Ispunjavaju nositelji OPG-a, vlasnici obrta/zastupnik zadruge, pravne osobe" sqref="B9">
      <formula1>SPREMA</formula1>
    </dataValidation>
    <dataValidation type="date" operator="greaterThan" allowBlank="1" showInputMessage="1" showErrorMessage="1" errorTitle="DATUM UPISA U UPISNIK" error="Molim upisati datum bez točke iza godine, npr. &quot;12.3.2004&quot;, te datum veći od 1.1.2003. godine!" promptTitle="DATUM UPISA" prompt="Upisuje se godina upisa u Upisnik poljoprivrednih gospodarstava (ispunjavaju nositelji OPG-a, vlasnici obrta /zastupnik zadruge, pravne osobe). Ukoliko je podnositelj zahtjeva fizička osoba, ista ostavlja prazno." sqref="B5">
      <formula1>37257</formula1>
    </dataValidation>
    <dataValidation allowBlank="1" showInputMessage="1" showErrorMessage="1" promptTitle="MIBPG" prompt="Upisuje se MIBPG podnositelja zahtjeva (ispunjavaju nositelji OPG-a, vlasnici obrta /zastupnik zadruge, pravne osobe). Ukoliko je podnositelj zahtjeva fizička osoba, ista ostavlja prazno." sqref="B4"/>
    <dataValidation allowBlank="1" showErrorMessage="1" promptTitle="OIB" prompt="Podatak se upisuje iz lista &quot;PONUDA&quot;. Upišite OIB u list &quot;PONUDA&quot;_x000a_" sqref="B41"/>
    <dataValidation allowBlank="1" showInputMessage="1" showErrorMessage="1" promptTitle="BROJ ČLANOVA KOJIMA JE POLJOP" prompt="upisuje se br.  čl. OPG-a ili zaposlenika obrta kojima je polj. primarna djelatnost (OPG-broj sukladno podacima s dokumenta-transakcija ZMO br. 117). Ako je podnositelj zahtjeva fizička osoba, ista ostavlja prazno." sqref="B8"/>
    <dataValidation allowBlank="1" showInputMessage="1" showErrorMessage="1" promptTitle="NOSITELJ" prompt="Upisuje se nositelj OPG-a ili ime fizičke osobe - podnositelj zahtjeva." sqref="B6"/>
    <dataValidation allowBlank="1" showInputMessage="1" showErrorMessage="1" promptTitle="BROJ ČLANOVA OPG-a" prompt="Upisuje se broj članova OPG-a upisanih u Upisnik OPG-a, vlasnici obrta. Ukoliko je podnositelj zahtjeva fizička osoba, ista ostavlja prazno." sqref="B7"/>
    <dataValidation type="list" allowBlank="1" showInputMessage="1" showErrorMessage="1" promptTitle="EKOLOŠKA" prompt="Odabrati ponuđeno iz  padajućeg izbornika. _x000a_Ispunjavaju nositelji OPG-a, vlasnici obrta/zastupnik zadruge, pravne osobe. Ukoliko je podnositelj zahtjeva fizička osoba, ista ne odabire ništa iz padajućeg izbornika." sqref="B10">
      <formula1>"DA,NE"</formula1>
    </dataValidation>
    <dataValidation allowBlank="1" showInputMessage="1" showErrorMessage="1" promptTitle="UPISNIK-EKOLOŠKA" prompt="Upisuje se broj sukladno Rješenju o upisu u Upisnik ekoloških proizvođača." sqref="B11"/>
    <dataValidation type="list" allowBlank="1" showInputMessage="1" showErrorMessage="1" promptTitle="INTEGRIRANA" prompt="Odabrati ponuđeno iz  padajućeg izbornika. Ispunjavaju nositelji OPG-a, vlasnici obrta/zastupnik zadruge, pravne osobe. Ukoliko je podnositelj zahtjeva fizička osoba, ista ne odabire ništa iz padajućeg izbornika. " sqref="B12">
      <formula1>"DA,NE"</formula1>
    </dataValidation>
    <dataValidation allowBlank="1" showInputMessage="1" showErrorMessage="1" promptTitle="UPISNIK - INTEGRIRANA" prompt="Upisuje se broj sukladno rješenju o upisu u Upisnik proizvođača u integriranoj proizvodnji. Ispunjavaju nositelji OPG-a, vlasnici obrta/zastupnik zadruge, pravne osobe. Ako je podnositelj zahtjeva fizička osoba, ne odabire ništa iz padajućeg izbornika." sqref="B13"/>
    <dataValidation allowBlank="1" showInputMessage="1" showErrorMessage="1" promptTitle="OBRT - NAZIV" prompt="Puno ime obrta u skladu s izvatkom iz obrtnog registra, obrtnicom ili Rješenjem o upisu u Obrtni registar." sqref="B15"/>
    <dataValidation allowBlank="1" showInputMessage="1" showErrorMessage="1" promptTitle="OBRT" prompt="Upisuje se ime i prezime  vlasnika obrta." sqref="B16"/>
    <dataValidation allowBlank="1" showInputMessage="1" showErrorMessage="1" promptTitle="MBO" prompt="Upisuje se matični broj obrta." sqref="B17"/>
    <dataValidation type="list" allowBlank="1" showInputMessage="1" showErrorMessage="1" promptTitle="U SUSTAVU PDV-a" prompt="Odabrati ponuđeno iz  padajućeg izbornika. Ispunjavaju nositelji OPG-a, vlasnici obrta/zastupnik zadruge, pravne osobe." sqref="B18">
      <formula1>"DA,NE"</formula1>
    </dataValidation>
    <dataValidation allowBlank="1" showInputMessage="1" showErrorMessage="1" promptTitle="MB" prompt="Matični broj pravnog subjekta sukladno Izvatku iz sudskog registra." sqref="B20"/>
    <dataValidation allowBlank="1" showInputMessage="1" showErrorMessage="1" promptTitle="VLASNIK/CI" prompt="Upisuje se ime vlasnika/zastupnika pravne osobe i/ili zadruge sukladno Izvatku iz sudskog registra." sqref="B21"/>
    <dataValidation allowBlank="1" showInputMessage="1" showErrorMessage="1" promptTitle="DIONICI" prompt="Upisuju se dionici sukladno Izvatku iz sudskog registra." sqref="B22"/>
    <dataValidation allowBlank="1" showInputMessage="1" showErrorMessage="1" promptTitle="DIREKTOR" prompt="Upisuje se ime i prezime direktora sukladno Izvatku iz sudskog registra i/ili ime i prezime zastupnika zadruge." sqref="B23"/>
    <dataValidation type="list" allowBlank="1" showInputMessage="1" showErrorMessage="1" promptTitle="PRIMARNA PROIZVODNJA" prompt="odabrati iz padajućeg izbornika proizvodnju na temelju koje će se definirati specifični bodovi te koja će se primjenjivati na zemljištu koje je predmet Poziva. Proizvođači ljek. i arom. bilja ovisno o vrsti bilja, odabiru „ratarstvo“ ili „trajni nasadi“." sqref="B32">
      <formula1>vrsta</formula1>
    </dataValidation>
    <dataValidation type="list" allowBlank="1" showInputMessage="1" showErrorMessage="1" promptTitle="OSTALA PROIZVODNJA" prompt="Odabrati ostalu proizvodnju iz padajućeg izbornika." sqref="A34 A35 A36 A37 A38">
      <formula1>vrsta</formula1>
    </dataValidation>
    <dataValidation allowBlank="1" showInputMessage="1" showErrorMessage="1" promptTitle="OSTALA PROIZVODNJA - POSTOTAK" prompt="Navesti postotak ostale proizvodnje." sqref="B34 B35 B36 B37 B38 B39"/>
  </dataValidations>
  <pageMargins left="0.70866141732283472" right="0.70866141732283472" top="1.1417322834645669" bottom="0.74803149606299213" header="0.31496062992125984" footer="0.31496062992125984"/>
  <pageSetup paperSize="9" scale="87" orientation="portrait" r:id="rId1"/>
  <headerFooter>
    <oddHeader>&amp;L&amp;G&amp;C
OBRAZAC GOSPODARSKOG PROGRAMA ZA
 KORIŠTENJE POLJOPRIVREDNOG ZEMLJIŠTA U
 VLASNIŠTVU DRŽAVE&amp;R
Stranica &amp;P od &amp;N
&amp;A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9" tint="-0.499984740745262"/>
  </sheetPr>
  <dimension ref="A2:IU67"/>
  <sheetViews>
    <sheetView showGridLines="0" view="pageBreakPreview" topLeftCell="A43" zoomScale="85" zoomScaleNormal="100" zoomScaleSheetLayoutView="85" workbookViewId="0">
      <selection activeCell="B31" sqref="B31"/>
    </sheetView>
  </sheetViews>
  <sheetFormatPr defaultColWidth="9" defaultRowHeight="12.5" x14ac:dyDescent="0.35"/>
  <cols>
    <col min="1" max="1" width="27.83203125" style="227" bestFit="1" customWidth="1"/>
    <col min="2" max="2" width="14.58203125" style="227" bestFit="1" customWidth="1"/>
    <col min="3" max="3" width="13.58203125" style="227" customWidth="1"/>
    <col min="4" max="4" width="11.75" style="227" customWidth="1"/>
    <col min="5" max="5" width="10.33203125" style="227" customWidth="1"/>
    <col min="6" max="6" width="11.58203125" style="227" customWidth="1"/>
    <col min="7" max="7" width="9.83203125" style="227" customWidth="1"/>
    <col min="8" max="9" width="9" style="227"/>
    <col min="10" max="10" width="12.08203125" style="227" customWidth="1"/>
    <col min="11" max="12" width="12.58203125" style="227" customWidth="1"/>
    <col min="13" max="13" width="11" style="227" customWidth="1"/>
    <col min="14" max="14" width="9.83203125" style="227" customWidth="1"/>
    <col min="15" max="22" width="9" style="227"/>
    <col min="23" max="28" width="9" style="227" hidden="1" customWidth="1"/>
    <col min="29" max="16384" width="9" style="227"/>
  </cols>
  <sheetData>
    <row r="2" spans="1:27" x14ac:dyDescent="0.35">
      <c r="A2" s="301" t="s">
        <v>196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</row>
    <row r="3" spans="1:27" x14ac:dyDescent="0.35">
      <c r="A3" s="303" t="s">
        <v>3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</row>
    <row r="4" spans="1:27" x14ac:dyDescent="0.35">
      <c r="A4" s="296" t="s">
        <v>21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</row>
    <row r="5" spans="1:27" ht="15" customHeight="1" x14ac:dyDescent="0.35">
      <c r="A5" s="305" t="s">
        <v>159</v>
      </c>
      <c r="B5" s="293" t="s">
        <v>156</v>
      </c>
      <c r="C5" s="295" t="s">
        <v>25</v>
      </c>
      <c r="D5" s="295"/>
      <c r="E5" s="295"/>
      <c r="F5" s="295"/>
      <c r="G5" s="295"/>
      <c r="H5" s="295"/>
      <c r="I5" s="295"/>
      <c r="J5" s="295" t="s">
        <v>24</v>
      </c>
      <c r="K5" s="295"/>
      <c r="L5" s="295"/>
      <c r="M5" s="295"/>
      <c r="N5" s="298" t="s">
        <v>36</v>
      </c>
    </row>
    <row r="6" spans="1:27" ht="62.5" x14ac:dyDescent="0.35">
      <c r="A6" s="306"/>
      <c r="B6" s="295"/>
      <c r="C6" s="228" t="s">
        <v>26</v>
      </c>
      <c r="D6" s="229" t="s">
        <v>27</v>
      </c>
      <c r="E6" s="229" t="s">
        <v>28</v>
      </c>
      <c r="F6" s="229" t="s">
        <v>175</v>
      </c>
      <c r="G6" s="229" t="s">
        <v>30</v>
      </c>
      <c r="H6" s="229" t="s">
        <v>28</v>
      </c>
      <c r="I6" s="229" t="s">
        <v>175</v>
      </c>
      <c r="J6" s="229" t="s">
        <v>31</v>
      </c>
      <c r="K6" s="229" t="s">
        <v>32</v>
      </c>
      <c r="L6" s="229" t="s">
        <v>185</v>
      </c>
      <c r="M6" s="229" t="s">
        <v>33</v>
      </c>
      <c r="N6" s="298"/>
    </row>
    <row r="7" spans="1:27" s="231" customFormat="1" ht="9" customHeight="1" x14ac:dyDescent="0.35">
      <c r="A7" s="307"/>
      <c r="B7" s="228" t="s">
        <v>34</v>
      </c>
      <c r="C7" s="228" t="s">
        <v>34</v>
      </c>
      <c r="D7" s="229" t="s">
        <v>34</v>
      </c>
      <c r="E7" s="230" t="s">
        <v>1</v>
      </c>
      <c r="F7" s="230" t="s">
        <v>35</v>
      </c>
      <c r="G7" s="229" t="s">
        <v>34</v>
      </c>
      <c r="H7" s="230" t="s">
        <v>1</v>
      </c>
      <c r="I7" s="230" t="s">
        <v>35</v>
      </c>
      <c r="J7" s="229" t="s">
        <v>34</v>
      </c>
      <c r="K7" s="229" t="s">
        <v>34</v>
      </c>
      <c r="L7" s="229" t="s">
        <v>34</v>
      </c>
      <c r="M7" s="229" t="s">
        <v>34</v>
      </c>
      <c r="N7" s="230" t="s">
        <v>35</v>
      </c>
    </row>
    <row r="8" spans="1:27" x14ac:dyDescent="0.35">
      <c r="A8" s="232" t="s">
        <v>4</v>
      </c>
      <c r="B8" s="233" t="str">
        <f t="shared" ref="B8:B14" si="0">IF(SUM(C8,D8,G8)=0,"",SUM(C8,D8,G8))</f>
        <v/>
      </c>
      <c r="C8" s="234"/>
      <c r="D8" s="234"/>
      <c r="E8" s="235"/>
      <c r="F8" s="236"/>
      <c r="G8" s="234"/>
      <c r="H8" s="236"/>
      <c r="I8" s="236"/>
      <c r="J8" s="234"/>
      <c r="K8" s="234"/>
      <c r="L8" s="234"/>
      <c r="M8" s="234"/>
      <c r="N8" s="236"/>
      <c r="W8" s="237"/>
    </row>
    <row r="9" spans="1:27" x14ac:dyDescent="0.35">
      <c r="A9" s="232" t="s">
        <v>5</v>
      </c>
      <c r="B9" s="233" t="str">
        <f t="shared" si="0"/>
        <v/>
      </c>
      <c r="C9" s="234"/>
      <c r="D9" s="234"/>
      <c r="E9" s="235"/>
      <c r="F9" s="236"/>
      <c r="G9" s="234"/>
      <c r="H9" s="236"/>
      <c r="I9" s="236"/>
      <c r="J9" s="234"/>
      <c r="K9" s="234"/>
      <c r="L9" s="234"/>
      <c r="M9" s="234"/>
      <c r="N9" s="236"/>
    </row>
    <row r="10" spans="1:27" x14ac:dyDescent="0.35">
      <c r="A10" s="232" t="s">
        <v>6</v>
      </c>
      <c r="B10" s="233" t="str">
        <f t="shared" si="0"/>
        <v/>
      </c>
      <c r="C10" s="234"/>
      <c r="D10" s="234"/>
      <c r="E10" s="235"/>
      <c r="F10" s="236"/>
      <c r="G10" s="234"/>
      <c r="H10" s="236"/>
      <c r="I10" s="236"/>
      <c r="J10" s="234"/>
      <c r="K10" s="234"/>
      <c r="L10" s="234"/>
      <c r="M10" s="234"/>
      <c r="N10" s="236"/>
    </row>
    <row r="11" spans="1:27" x14ac:dyDescent="0.35">
      <c r="A11" s="232" t="s">
        <v>22</v>
      </c>
      <c r="B11" s="233" t="str">
        <f t="shared" si="0"/>
        <v/>
      </c>
      <c r="C11" s="234"/>
      <c r="D11" s="234"/>
      <c r="E11" s="235"/>
      <c r="F11" s="236"/>
      <c r="G11" s="234"/>
      <c r="H11" s="236"/>
      <c r="I11" s="236"/>
      <c r="J11" s="234"/>
      <c r="K11" s="234"/>
      <c r="L11" s="234"/>
      <c r="M11" s="234"/>
      <c r="N11" s="236"/>
    </row>
    <row r="12" spans="1:27" x14ac:dyDescent="0.35">
      <c r="A12" s="232" t="s">
        <v>23</v>
      </c>
      <c r="B12" s="233" t="str">
        <f t="shared" si="0"/>
        <v/>
      </c>
      <c r="C12" s="234"/>
      <c r="D12" s="234"/>
      <c r="E12" s="235"/>
      <c r="F12" s="236"/>
      <c r="G12" s="234"/>
      <c r="H12" s="236"/>
      <c r="I12" s="236"/>
      <c r="J12" s="234"/>
      <c r="K12" s="234"/>
      <c r="L12" s="234"/>
      <c r="M12" s="234"/>
      <c r="N12" s="236"/>
    </row>
    <row r="13" spans="1:27" x14ac:dyDescent="0.35">
      <c r="A13" s="232" t="s">
        <v>144</v>
      </c>
      <c r="B13" s="233" t="str">
        <f t="shared" si="0"/>
        <v/>
      </c>
      <c r="C13" s="234"/>
      <c r="D13" s="234"/>
      <c r="E13" s="235"/>
      <c r="F13" s="236"/>
      <c r="G13" s="234"/>
      <c r="H13" s="236"/>
      <c r="I13" s="236"/>
      <c r="J13" s="234"/>
      <c r="K13" s="234"/>
      <c r="L13" s="234"/>
      <c r="M13" s="234"/>
      <c r="N13" s="236"/>
    </row>
    <row r="14" spans="1:27" x14ac:dyDescent="0.35">
      <c r="A14" s="232" t="s">
        <v>7</v>
      </c>
      <c r="B14" s="233" t="str">
        <f t="shared" si="0"/>
        <v/>
      </c>
      <c r="C14" s="234"/>
      <c r="D14" s="234"/>
      <c r="E14" s="235"/>
      <c r="F14" s="236"/>
      <c r="G14" s="234"/>
      <c r="H14" s="236"/>
      <c r="I14" s="236"/>
      <c r="J14" s="234"/>
      <c r="K14" s="234"/>
      <c r="L14" s="234"/>
      <c r="M14" s="234"/>
      <c r="N14" s="236"/>
    </row>
    <row r="15" spans="1:27" s="240" customFormat="1" x14ac:dyDescent="0.35">
      <c r="A15" s="232" t="s">
        <v>156</v>
      </c>
      <c r="B15" s="233" t="str">
        <f>IF(SUM(B8:B14)=0,"",SUM(B8:B14))</f>
        <v/>
      </c>
      <c r="C15" s="233" t="str">
        <f>IF(SUM(C8:C14)=0,"",SUM(C8:C14))</f>
        <v/>
      </c>
      <c r="D15" s="233" t="str">
        <f>IF(SUM(D8:D14)=0,"",SUM(D8:D14))</f>
        <v/>
      </c>
      <c r="E15" s="238"/>
      <c r="F15" s="238"/>
      <c r="G15" s="239" t="str">
        <f>IF(SUM(G8:G14)=0,"",SUM(G8:G14))</f>
        <v/>
      </c>
      <c r="H15" s="238"/>
      <c r="I15" s="238"/>
      <c r="J15" s="239" t="str">
        <f>IF(SUM(J8:J14)=0,"",SUM(J8:J14))</f>
        <v/>
      </c>
      <c r="K15" s="239" t="str">
        <f>IF(SUM(K8:K14)=0,"",SUM(K8:K14))</f>
        <v/>
      </c>
      <c r="L15" s="239"/>
      <c r="M15" s="239" t="str">
        <f>IF(SUM(M8:M14)=0,"",SUM(M8:M14))</f>
        <v/>
      </c>
      <c r="N15" s="238"/>
    </row>
    <row r="16" spans="1:27" s="240" customFormat="1" x14ac:dyDescent="0.35">
      <c r="T16" s="241"/>
      <c r="U16" s="241"/>
      <c r="V16" s="241"/>
      <c r="W16" s="241"/>
      <c r="X16" s="241"/>
      <c r="Y16" s="241"/>
      <c r="Z16" s="241"/>
      <c r="AA16" s="241"/>
    </row>
    <row r="17" spans="1:255" x14ac:dyDescent="0.35">
      <c r="A17" s="291" t="s">
        <v>37</v>
      </c>
      <c r="B17" s="292"/>
      <c r="C17" s="292"/>
      <c r="D17" s="292"/>
      <c r="E17" s="292"/>
      <c r="F17" s="292"/>
      <c r="G17" s="242"/>
      <c r="H17" s="242"/>
      <c r="I17" s="242"/>
      <c r="J17" s="242"/>
      <c r="K17" s="242"/>
      <c r="L17" s="242"/>
      <c r="M17" s="242"/>
      <c r="N17" s="242"/>
      <c r="T17" s="243"/>
      <c r="U17" s="243"/>
      <c r="V17" s="243"/>
      <c r="W17" s="243"/>
      <c r="X17" s="243"/>
      <c r="Y17" s="243"/>
      <c r="Z17" s="243"/>
      <c r="AA17" s="243"/>
    </row>
    <row r="18" spans="1:255" ht="37.5" x14ac:dyDescent="0.35">
      <c r="A18" s="293" t="s">
        <v>38</v>
      </c>
      <c r="B18" s="293" t="s">
        <v>40</v>
      </c>
      <c r="C18" s="229" t="s">
        <v>58</v>
      </c>
      <c r="D18" s="229" t="s">
        <v>60</v>
      </c>
      <c r="E18" s="229" t="s">
        <v>61</v>
      </c>
      <c r="F18" s="229" t="s">
        <v>62</v>
      </c>
      <c r="G18" s="244"/>
      <c r="H18" s="245"/>
      <c r="I18" s="245"/>
      <c r="J18" s="244"/>
      <c r="K18" s="244"/>
      <c r="L18" s="246"/>
      <c r="M18" s="246"/>
      <c r="N18" s="243"/>
      <c r="O18" s="243"/>
      <c r="P18" s="243"/>
      <c r="Q18" s="243"/>
      <c r="T18" s="243"/>
      <c r="U18" s="243"/>
      <c r="V18" s="243"/>
      <c r="W18" s="243"/>
      <c r="X18" s="243"/>
      <c r="Y18" s="243"/>
      <c r="Z18" s="243"/>
      <c r="AA18" s="243"/>
    </row>
    <row r="19" spans="1:255" ht="9.75" customHeight="1" x14ac:dyDescent="0.35">
      <c r="A19" s="294"/>
      <c r="B19" s="294"/>
      <c r="C19" s="228" t="s">
        <v>59</v>
      </c>
      <c r="D19" s="229" t="s">
        <v>59</v>
      </c>
      <c r="E19" s="229" t="s">
        <v>59</v>
      </c>
      <c r="F19" s="229" t="s">
        <v>63</v>
      </c>
      <c r="G19" s="247"/>
      <c r="H19" s="247"/>
      <c r="I19" s="247"/>
      <c r="J19" s="247"/>
      <c r="K19" s="247"/>
      <c r="L19" s="248"/>
      <c r="M19" s="249"/>
      <c r="N19" s="243"/>
      <c r="Q19" s="243"/>
      <c r="R19" s="243"/>
      <c r="T19" s="243"/>
      <c r="X19" s="250"/>
      <c r="Y19" s="227" t="s">
        <v>169</v>
      </c>
      <c r="Z19" s="243"/>
      <c r="AA19" s="243"/>
      <c r="AB19" s="243"/>
    </row>
    <row r="20" spans="1:255" x14ac:dyDescent="0.35">
      <c r="A20" s="232" t="s">
        <v>8</v>
      </c>
      <c r="B20" s="234"/>
      <c r="C20" s="267"/>
      <c r="D20" s="267"/>
      <c r="E20" s="267"/>
      <c r="F20" s="252"/>
      <c r="G20" s="247"/>
      <c r="L20" s="248"/>
      <c r="M20" s="253"/>
      <c r="N20" s="241"/>
      <c r="O20" s="241"/>
      <c r="P20" s="241"/>
      <c r="Q20" s="243"/>
      <c r="R20" s="243"/>
      <c r="T20" s="243"/>
      <c r="X20" s="243" t="s">
        <v>170</v>
      </c>
      <c r="Y20" s="227">
        <f>E20-C20</f>
        <v>0</v>
      </c>
      <c r="Z20" s="227">
        <f>IF(F20="NE",1,IF(Y20&lt;0,2,IF(Y20=0,3,IF(Y20&gt;0,4))))</f>
        <v>3</v>
      </c>
      <c r="AA20" s="254">
        <v>1</v>
      </c>
      <c r="AB20" s="255" t="s">
        <v>166</v>
      </c>
      <c r="AD20" s="241"/>
      <c r="IR20" s="256" t="str">
        <f>IF(OR(E20&lt;&gt;0,E27&lt;&gt;0),"DA","NE")</f>
        <v>NE</v>
      </c>
      <c r="IS20" s="257">
        <f>C20+C27</f>
        <v>0</v>
      </c>
      <c r="IT20" s="257">
        <f>E20+E27</f>
        <v>0</v>
      </c>
      <c r="IU20" s="256" t="str">
        <f>IF(OR(F20="DA",F27="DA"),"DA","NE")</f>
        <v>NE</v>
      </c>
    </row>
    <row r="21" spans="1:255" x14ac:dyDescent="0.35">
      <c r="A21" s="232" t="s">
        <v>148</v>
      </c>
      <c r="B21" s="234"/>
      <c r="C21" s="267"/>
      <c r="D21" s="267"/>
      <c r="E21" s="267"/>
      <c r="F21" s="252"/>
      <c r="G21" s="247"/>
      <c r="L21" s="248"/>
      <c r="M21" s="248"/>
      <c r="Q21" s="243"/>
      <c r="R21" s="243"/>
      <c r="T21" s="243"/>
      <c r="X21" s="243" t="s">
        <v>171</v>
      </c>
      <c r="Y21" s="241">
        <f>SUM(E21:E22,E27)-SUM(C21:C22,C27)</f>
        <v>0</v>
      </c>
      <c r="Z21" s="227">
        <f>IF(AND(F21="NE",F22="NE",F27="NE"),1,IF(Y21&lt;0,2,IF(Y21=0,3,IF(Y21&gt;0,4))))</f>
        <v>3</v>
      </c>
      <c r="AA21" s="258">
        <v>2</v>
      </c>
      <c r="AB21" s="255" t="s">
        <v>146</v>
      </c>
      <c r="AD21" s="241"/>
      <c r="IR21" s="256" t="str">
        <f>IF(OR(E21&lt;&gt;0,E22&lt;&gt;0),"DA","NE")</f>
        <v>NE</v>
      </c>
      <c r="IS21" s="256">
        <f>SUM(C21:C22)</f>
        <v>0</v>
      </c>
      <c r="IT21" s="256">
        <f>SUM(E21:E22)</f>
        <v>0</v>
      </c>
      <c r="IU21" s="256" t="str">
        <f>IF(OR(F21="DA",F22="DA"),"DA","NE")</f>
        <v>NE</v>
      </c>
    </row>
    <row r="22" spans="1:255" x14ac:dyDescent="0.35">
      <c r="A22" s="232" t="s">
        <v>9</v>
      </c>
      <c r="B22" s="234"/>
      <c r="C22" s="267"/>
      <c r="D22" s="267"/>
      <c r="E22" s="267"/>
      <c r="F22" s="252"/>
      <c r="G22" s="247"/>
      <c r="L22" s="248"/>
      <c r="M22" s="248"/>
      <c r="Q22" s="243"/>
      <c r="R22" s="243"/>
      <c r="T22" s="243"/>
      <c r="X22" s="243"/>
      <c r="Y22" s="241" t="str">
        <f>IF(B22="","",IF(AND(F22="DA",E22&gt;B22),4,IF(AND(F22="DA",E22=B22),3,IF(AND(F22="DA",E22&lt;=B22),2,IF(F22="NE",1)))))</f>
        <v/>
      </c>
      <c r="Z22" s="259"/>
      <c r="AA22" s="258">
        <v>3</v>
      </c>
      <c r="AB22" s="255" t="s">
        <v>165</v>
      </c>
      <c r="AD22" s="241"/>
    </row>
    <row r="23" spans="1:255" x14ac:dyDescent="0.35">
      <c r="A23" s="232" t="s">
        <v>10</v>
      </c>
      <c r="B23" s="234"/>
      <c r="C23" s="267"/>
      <c r="D23" s="267"/>
      <c r="E23" s="267"/>
      <c r="F23" s="252"/>
      <c r="G23" s="247"/>
      <c r="L23" s="248"/>
      <c r="M23" s="248"/>
      <c r="Q23" s="243"/>
      <c r="R23" s="243"/>
      <c r="T23" s="243"/>
      <c r="X23" s="243" t="s">
        <v>172</v>
      </c>
      <c r="Y23" s="241">
        <f>SUM(E23:E26)-SUM(C23:C26)</f>
        <v>0</v>
      </c>
      <c r="Z23" s="227">
        <f>IF(AND(F23="NE",F24="NE",F25="NE",F26="NE"),1,IF(Y23&lt;0,2,IF(Y23=0,3,IF(Y23&gt;0,4))))</f>
        <v>3</v>
      </c>
      <c r="AA23" s="258">
        <v>4</v>
      </c>
      <c r="AB23" s="255" t="s">
        <v>147</v>
      </c>
      <c r="AD23" s="241"/>
      <c r="IR23" s="256" t="str">
        <f>IF(OR(E23&lt;&gt;0,E24&lt;&gt;0,E25&lt;&gt;0,E26&lt;&gt;0),"DA","NE")</f>
        <v>NE</v>
      </c>
      <c r="IS23" s="256">
        <f>SUM(C23:C26)</f>
        <v>0</v>
      </c>
      <c r="IT23" s="256">
        <f>SUM(E23:E26)</f>
        <v>0</v>
      </c>
      <c r="IU23" s="256" t="str">
        <f>IF(OR(F23="DA",F24="DA",F25="DA",F26="DA"),"DA","NE")</f>
        <v>NE</v>
      </c>
    </row>
    <row r="24" spans="1:255" x14ac:dyDescent="0.35">
      <c r="A24" s="232" t="s">
        <v>193</v>
      </c>
      <c r="B24" s="234"/>
      <c r="C24" s="267"/>
      <c r="D24" s="267"/>
      <c r="E24" s="267"/>
      <c r="F24" s="252"/>
      <c r="G24" s="247"/>
      <c r="L24" s="253"/>
      <c r="M24" s="248"/>
      <c r="Q24" s="243"/>
      <c r="R24" s="243"/>
      <c r="T24" s="243"/>
      <c r="AD24" s="241"/>
      <c r="IR24" s="256"/>
      <c r="IS24" s="256"/>
      <c r="IT24" s="256"/>
      <c r="IU24" s="256"/>
    </row>
    <row r="25" spans="1:255" x14ac:dyDescent="0.35">
      <c r="A25" s="232" t="s">
        <v>194</v>
      </c>
      <c r="B25" s="234"/>
      <c r="C25" s="267"/>
      <c r="D25" s="267"/>
      <c r="E25" s="267"/>
      <c r="F25" s="252"/>
      <c r="G25" s="247"/>
      <c r="L25" s="253"/>
      <c r="M25" s="253"/>
      <c r="N25" s="241"/>
      <c r="O25" s="241"/>
      <c r="P25" s="241"/>
      <c r="Q25" s="243"/>
      <c r="R25" s="243"/>
      <c r="T25" s="243"/>
      <c r="AD25" s="241"/>
      <c r="IR25" s="256"/>
    </row>
    <row r="26" spans="1:255" x14ac:dyDescent="0.35">
      <c r="A26" s="232" t="s">
        <v>23</v>
      </c>
      <c r="B26" s="234"/>
      <c r="C26" s="267"/>
      <c r="D26" s="267"/>
      <c r="E26" s="267"/>
      <c r="F26" s="252"/>
      <c r="G26" s="249"/>
      <c r="H26" s="253"/>
      <c r="I26" s="260"/>
      <c r="J26" s="253"/>
      <c r="K26" s="253"/>
      <c r="L26" s="253"/>
      <c r="M26" s="253"/>
      <c r="N26" s="241"/>
      <c r="O26" s="241"/>
      <c r="P26" s="243"/>
      <c r="Q26" s="243"/>
      <c r="R26" s="243"/>
      <c r="T26" s="243"/>
      <c r="AD26" s="243"/>
    </row>
    <row r="27" spans="1:255" x14ac:dyDescent="0.35">
      <c r="A27" s="232" t="s">
        <v>155</v>
      </c>
      <c r="B27" s="234"/>
      <c r="C27" s="267"/>
      <c r="D27" s="267"/>
      <c r="E27" s="267"/>
      <c r="F27" s="252"/>
      <c r="G27" s="249"/>
      <c r="H27" s="248"/>
      <c r="I27" s="248"/>
      <c r="J27" s="248"/>
      <c r="K27" s="248"/>
      <c r="L27" s="248"/>
      <c r="M27" s="248"/>
      <c r="Q27" s="243"/>
      <c r="R27" s="243"/>
      <c r="T27" s="243"/>
      <c r="U27" s="243"/>
      <c r="V27" s="241"/>
      <c r="W27" s="241" t="str">
        <f>IF(B27="","",IF(AND(F27="DA",E27&gt;B27),4,IF(AND(F27="DA",E27=B27),3,IF(AND(F27="DA",E27&lt;=B27),2,IF(F27="NE",1)))))</f>
        <v/>
      </c>
      <c r="X27" s="241"/>
      <c r="Y27" s="241"/>
      <c r="Z27" s="241"/>
      <c r="AA27" s="241"/>
      <c r="AB27" s="241"/>
      <c r="AC27" s="243"/>
      <c r="AD27" s="243"/>
    </row>
    <row r="28" spans="1:255" ht="14.25" customHeight="1" x14ac:dyDescent="0.35">
      <c r="A28" s="240"/>
      <c r="B28" s="240"/>
      <c r="C28" s="240"/>
      <c r="D28" s="240"/>
      <c r="E28" s="240"/>
      <c r="G28" s="261"/>
      <c r="H28" s="261"/>
      <c r="I28" s="261"/>
      <c r="J28" s="261"/>
      <c r="K28" s="261"/>
      <c r="L28" s="261"/>
      <c r="M28" s="261"/>
      <c r="N28" s="240"/>
      <c r="T28" s="243"/>
      <c r="U28" s="243"/>
      <c r="V28" s="243"/>
      <c r="W28" s="243"/>
      <c r="X28" s="243"/>
      <c r="Y28" s="243"/>
      <c r="Z28" s="243"/>
      <c r="AA28" s="243"/>
    </row>
    <row r="29" spans="1:255" ht="51.75" customHeight="1" x14ac:dyDescent="0.35">
      <c r="A29" s="293" t="s">
        <v>39</v>
      </c>
      <c r="B29" s="229" t="s">
        <v>41</v>
      </c>
      <c r="C29" s="229" t="s">
        <v>167</v>
      </c>
      <c r="D29" s="229" t="s">
        <v>236</v>
      </c>
      <c r="E29" s="262"/>
      <c r="F29" s="262"/>
      <c r="G29" s="263"/>
      <c r="H29" s="263"/>
      <c r="I29" s="264"/>
      <c r="T29" s="243"/>
      <c r="U29" s="243"/>
      <c r="V29" s="243"/>
      <c r="W29" s="243"/>
      <c r="X29" s="243"/>
      <c r="Y29" s="243"/>
      <c r="Z29" s="243"/>
      <c r="AA29" s="243"/>
    </row>
    <row r="30" spans="1:255" ht="12.75" customHeight="1" x14ac:dyDescent="0.35">
      <c r="A30" s="295"/>
      <c r="B30" s="230" t="s">
        <v>0</v>
      </c>
      <c r="C30" s="230" t="s">
        <v>168</v>
      </c>
      <c r="D30" s="230" t="s">
        <v>237</v>
      </c>
      <c r="E30" s="265"/>
      <c r="F30" s="265"/>
      <c r="G30" s="266"/>
      <c r="H30" s="266"/>
      <c r="I30" s="264"/>
      <c r="J30" s="237"/>
      <c r="T30" s="243"/>
      <c r="U30" s="243"/>
      <c r="V30" s="243"/>
      <c r="W30" s="243"/>
      <c r="X30" s="243"/>
      <c r="Y30" s="243"/>
      <c r="Z30" s="243"/>
      <c r="AA30" s="243"/>
    </row>
    <row r="31" spans="1:255" x14ac:dyDescent="0.35">
      <c r="A31" s="232" t="s">
        <v>11</v>
      </c>
      <c r="B31" s="267"/>
      <c r="C31" s="278" t="str">
        <f>IF(B31="","",B31)</f>
        <v/>
      </c>
      <c r="D31" s="267"/>
      <c r="E31" s="268"/>
      <c r="F31" s="268"/>
      <c r="G31" s="269"/>
      <c r="H31" s="269"/>
      <c r="V31" s="270">
        <f>SUM(C31:C41)</f>
        <v>0</v>
      </c>
    </row>
    <row r="32" spans="1:255" x14ac:dyDescent="0.35">
      <c r="A32" s="232" t="s">
        <v>228</v>
      </c>
      <c r="B32" s="267"/>
      <c r="C32" s="278" t="str">
        <f>IF(B32="","",B32*POPISI!H20)</f>
        <v/>
      </c>
      <c r="D32" s="267"/>
      <c r="E32" s="268"/>
      <c r="F32" s="268"/>
      <c r="G32" s="269"/>
      <c r="H32" s="269"/>
      <c r="I32" s="264"/>
    </row>
    <row r="33" spans="1:22" x14ac:dyDescent="0.35">
      <c r="A33" s="232" t="s">
        <v>227</v>
      </c>
      <c r="B33" s="267"/>
      <c r="C33" s="278" t="str">
        <f>IF(B33="","",B33*POPISI!H26)</f>
        <v/>
      </c>
      <c r="D33" s="267"/>
      <c r="E33" s="268"/>
      <c r="F33" s="268"/>
      <c r="G33" s="269"/>
      <c r="H33" s="269"/>
      <c r="I33" s="264"/>
    </row>
    <row r="34" spans="1:22" x14ac:dyDescent="0.35">
      <c r="A34" s="232" t="s">
        <v>12</v>
      </c>
      <c r="B34" s="267"/>
      <c r="C34" s="278" t="str">
        <f>IF(B34="","",B34*POPISI!H25)</f>
        <v/>
      </c>
      <c r="D34" s="267"/>
      <c r="E34" s="268"/>
      <c r="F34" s="268"/>
      <c r="G34" s="269"/>
      <c r="H34" s="269"/>
      <c r="I34" s="264"/>
    </row>
    <row r="35" spans="1:22" x14ac:dyDescent="0.35">
      <c r="A35" s="232" t="s">
        <v>13</v>
      </c>
      <c r="B35" s="267"/>
      <c r="C35" s="278" t="str">
        <f>IF(B35="","",B35*POPISI!H20)</f>
        <v/>
      </c>
      <c r="D35" s="267"/>
      <c r="E35" s="268"/>
      <c r="F35" s="268"/>
      <c r="G35" s="269"/>
      <c r="H35" s="269"/>
      <c r="I35" s="264"/>
    </row>
    <row r="36" spans="1:22" x14ac:dyDescent="0.35">
      <c r="A36" s="232" t="s">
        <v>14</v>
      </c>
      <c r="B36" s="267"/>
      <c r="C36" s="278" t="str">
        <f>IF(B36="","",B36*POPISI!H18)</f>
        <v/>
      </c>
      <c r="D36" s="267"/>
      <c r="E36" s="268"/>
      <c r="F36" s="268"/>
      <c r="G36" s="269"/>
      <c r="H36" s="269"/>
      <c r="I36" s="264"/>
    </row>
    <row r="37" spans="1:22" x14ac:dyDescent="0.35">
      <c r="A37" s="232" t="s">
        <v>15</v>
      </c>
      <c r="B37" s="267"/>
      <c r="C37" s="278" t="str">
        <f>IF(B37="","",B37*POPISI!H19)</f>
        <v/>
      </c>
      <c r="D37" s="267"/>
      <c r="E37" s="268"/>
      <c r="F37" s="268"/>
      <c r="G37" s="269"/>
      <c r="H37" s="269"/>
      <c r="I37" s="264"/>
    </row>
    <row r="38" spans="1:22" x14ac:dyDescent="0.35">
      <c r="A38" s="232" t="s">
        <v>16</v>
      </c>
      <c r="B38" s="267"/>
      <c r="C38" s="278" t="str">
        <f>IF(B38="","",B38*POPISI!H21)</f>
        <v/>
      </c>
      <c r="D38" s="267"/>
      <c r="E38" s="268"/>
      <c r="F38" s="268"/>
      <c r="G38" s="269"/>
      <c r="H38" s="269"/>
      <c r="I38" s="264"/>
    </row>
    <row r="39" spans="1:22" x14ac:dyDescent="0.35">
      <c r="A39" s="232" t="s">
        <v>17</v>
      </c>
      <c r="B39" s="267"/>
      <c r="C39" s="278" t="str">
        <f>IF(B39="","",B39*POPISI!H22)</f>
        <v/>
      </c>
      <c r="D39" s="267"/>
      <c r="E39" s="268"/>
      <c r="F39" s="268"/>
      <c r="G39" s="269"/>
      <c r="H39" s="269"/>
      <c r="I39" s="264"/>
    </row>
    <row r="40" spans="1:22" x14ac:dyDescent="0.35">
      <c r="A40" s="232" t="s">
        <v>18</v>
      </c>
      <c r="B40" s="267"/>
      <c r="C40" s="278" t="str">
        <f>IF(B40="","",B40)</f>
        <v/>
      </c>
      <c r="D40" s="267"/>
      <c r="E40" s="268"/>
      <c r="F40" s="268"/>
      <c r="G40" s="269"/>
      <c r="H40" s="269"/>
      <c r="I40" s="264"/>
    </row>
    <row r="41" spans="1:22" x14ac:dyDescent="0.35">
      <c r="A41" s="232" t="s">
        <v>19</v>
      </c>
      <c r="B41" s="267"/>
      <c r="C41" s="278" t="str">
        <f>IF(B41="","",B41)</f>
        <v/>
      </c>
      <c r="D41" s="267"/>
      <c r="E41" s="268"/>
      <c r="F41" s="268"/>
      <c r="G41" s="269"/>
      <c r="H41" s="269"/>
      <c r="I41" s="264"/>
    </row>
    <row r="42" spans="1:22" s="240" customFormat="1" x14ac:dyDescent="0.35"/>
    <row r="43" spans="1:22" x14ac:dyDescent="0.35">
      <c r="A43" s="296" t="s">
        <v>42</v>
      </c>
      <c r="B43" s="297"/>
      <c r="C43" s="297"/>
      <c r="D43" s="297"/>
      <c r="E43" s="297"/>
      <c r="F43" s="297"/>
      <c r="G43" s="297"/>
    </row>
    <row r="44" spans="1:22" x14ac:dyDescent="0.35">
      <c r="A44" s="293" t="s">
        <v>43</v>
      </c>
      <c r="B44" s="298" t="s">
        <v>176</v>
      </c>
      <c r="C44" s="298" t="s">
        <v>177</v>
      </c>
      <c r="D44" s="298" t="s">
        <v>45</v>
      </c>
      <c r="E44" s="298" t="s">
        <v>44</v>
      </c>
      <c r="F44" s="299"/>
      <c r="G44" s="299"/>
    </row>
    <row r="45" spans="1:22" ht="37.5" x14ac:dyDescent="0.35">
      <c r="A45" s="295"/>
      <c r="B45" s="299"/>
      <c r="C45" s="299"/>
      <c r="D45" s="299"/>
      <c r="E45" s="229" t="s">
        <v>46</v>
      </c>
      <c r="F45" s="229" t="s">
        <v>47</v>
      </c>
      <c r="G45" s="229" t="s">
        <v>48</v>
      </c>
    </row>
    <row r="46" spans="1:22" x14ac:dyDescent="0.35">
      <c r="A46" s="271"/>
      <c r="B46" s="236"/>
      <c r="C46" s="236"/>
      <c r="D46" s="236"/>
      <c r="E46" s="252"/>
      <c r="F46" s="236"/>
      <c r="G46" s="236"/>
      <c r="V46" s="237" t="str">
        <f>IF(OR(A46&lt;&gt;"",A47&lt;&gt;"",A48&lt;&gt;"",A49&lt;&gt;""), "DA","NE")</f>
        <v>NE</v>
      </c>
    </row>
    <row r="47" spans="1:22" x14ac:dyDescent="0.35">
      <c r="A47" s="271"/>
      <c r="B47" s="236"/>
      <c r="C47" s="236"/>
      <c r="D47" s="236"/>
      <c r="E47" s="252"/>
      <c r="F47" s="236"/>
      <c r="G47" s="236"/>
    </row>
    <row r="48" spans="1:22" x14ac:dyDescent="0.35">
      <c r="A48" s="271"/>
      <c r="B48" s="236"/>
      <c r="C48" s="236"/>
      <c r="D48" s="236"/>
      <c r="E48" s="252"/>
      <c r="F48" s="236"/>
      <c r="G48" s="236"/>
    </row>
    <row r="49" spans="1:15" x14ac:dyDescent="0.35">
      <c r="A49" s="271"/>
      <c r="B49" s="236"/>
      <c r="C49" s="236"/>
      <c r="D49" s="236"/>
      <c r="E49" s="252"/>
      <c r="F49" s="236"/>
      <c r="G49" s="236"/>
    </row>
    <row r="50" spans="1:15" s="240" customFormat="1" x14ac:dyDescent="0.35"/>
    <row r="51" spans="1:15" x14ac:dyDescent="0.35">
      <c r="A51" s="309" t="s">
        <v>49</v>
      </c>
      <c r="B51" s="300"/>
      <c r="C51" s="300"/>
      <c r="D51" s="300"/>
      <c r="E51" s="300"/>
      <c r="F51" s="300"/>
      <c r="G51" s="300"/>
      <c r="H51" s="300"/>
    </row>
    <row r="52" spans="1:15" x14ac:dyDescent="0.35">
      <c r="A52" s="293" t="s">
        <v>50</v>
      </c>
      <c r="B52" s="298" t="s">
        <v>178</v>
      </c>
      <c r="C52" s="298" t="s">
        <v>51</v>
      </c>
      <c r="D52" s="298" t="s">
        <v>52</v>
      </c>
      <c r="E52" s="298" t="s">
        <v>44</v>
      </c>
      <c r="F52" s="299"/>
      <c r="G52" s="299"/>
      <c r="H52" s="300"/>
    </row>
    <row r="53" spans="1:15" ht="25" x14ac:dyDescent="0.35">
      <c r="A53" s="295"/>
      <c r="B53" s="299"/>
      <c r="C53" s="299"/>
      <c r="D53" s="299"/>
      <c r="E53" s="229" t="s">
        <v>26</v>
      </c>
      <c r="F53" s="229" t="s">
        <v>53</v>
      </c>
      <c r="G53" s="229" t="s">
        <v>54</v>
      </c>
      <c r="H53" s="229" t="s">
        <v>29</v>
      </c>
    </row>
    <row r="54" spans="1:15" x14ac:dyDescent="0.35">
      <c r="A54" s="271"/>
      <c r="B54" s="251"/>
      <c r="C54" s="236"/>
      <c r="D54" s="236"/>
      <c r="E54" s="236"/>
      <c r="F54" s="236"/>
      <c r="G54" s="236"/>
      <c r="H54" s="236"/>
    </row>
    <row r="55" spans="1:15" x14ac:dyDescent="0.35">
      <c r="A55" s="271"/>
      <c r="B55" s="251"/>
      <c r="C55" s="236"/>
      <c r="D55" s="236"/>
      <c r="E55" s="236"/>
      <c r="F55" s="236"/>
      <c r="G55" s="236"/>
      <c r="H55" s="236"/>
      <c r="K55" s="272"/>
      <c r="L55" s="272"/>
      <c r="M55" s="272"/>
      <c r="N55" s="272"/>
      <c r="O55" s="272"/>
    </row>
    <row r="56" spans="1:15" x14ac:dyDescent="0.35">
      <c r="A56" s="271"/>
      <c r="B56" s="251"/>
      <c r="C56" s="236"/>
      <c r="D56" s="236"/>
      <c r="E56" s="236"/>
      <c r="F56" s="236"/>
      <c r="G56" s="236"/>
      <c r="H56" s="236"/>
      <c r="K56" s="272"/>
      <c r="L56" s="272"/>
      <c r="M56" s="272"/>
      <c r="N56" s="272"/>
      <c r="O56" s="272"/>
    </row>
    <row r="57" spans="1:15" x14ac:dyDescent="0.35">
      <c r="A57" s="271"/>
      <c r="B57" s="251"/>
      <c r="C57" s="236"/>
      <c r="D57" s="236"/>
      <c r="E57" s="236"/>
      <c r="F57" s="236"/>
      <c r="G57" s="236"/>
      <c r="H57" s="236"/>
      <c r="K57" s="272"/>
      <c r="L57" s="272"/>
      <c r="M57" s="272"/>
      <c r="N57" s="272"/>
      <c r="O57" s="272"/>
    </row>
    <row r="58" spans="1:15" s="240" customFormat="1" ht="13" thickBot="1" x14ac:dyDescent="0.4">
      <c r="K58" s="273"/>
      <c r="L58" s="273"/>
      <c r="M58" s="273"/>
      <c r="N58" s="273"/>
      <c r="O58" s="273"/>
    </row>
    <row r="59" spans="1:15" x14ac:dyDescent="0.35">
      <c r="A59" s="314" t="s">
        <v>55</v>
      </c>
      <c r="B59" s="315"/>
      <c r="C59" s="315"/>
      <c r="D59" s="315"/>
      <c r="E59" s="315"/>
      <c r="F59" s="315"/>
      <c r="G59" s="315"/>
      <c r="H59" s="316"/>
    </row>
    <row r="60" spans="1:15" x14ac:dyDescent="0.35">
      <c r="A60" s="312" t="s">
        <v>188</v>
      </c>
      <c r="B60" s="300"/>
      <c r="C60" s="300"/>
      <c r="D60" s="300"/>
      <c r="E60" s="300"/>
      <c r="F60" s="300"/>
      <c r="G60" s="300"/>
      <c r="H60" s="274" t="s">
        <v>56</v>
      </c>
      <c r="K60" s="272"/>
      <c r="L60" s="272"/>
      <c r="M60" s="272"/>
      <c r="N60" s="272"/>
      <c r="O60" s="272"/>
    </row>
    <row r="61" spans="1:15" x14ac:dyDescent="0.35">
      <c r="A61" s="313" t="s">
        <v>164</v>
      </c>
      <c r="B61" s="300"/>
      <c r="C61" s="300"/>
      <c r="D61" s="300"/>
      <c r="E61" s="300"/>
      <c r="F61" s="300"/>
      <c r="G61" s="300"/>
      <c r="H61" s="275"/>
    </row>
    <row r="62" spans="1:15" x14ac:dyDescent="0.35">
      <c r="A62" s="317" t="s">
        <v>57</v>
      </c>
      <c r="B62" s="300"/>
      <c r="C62" s="300"/>
      <c r="D62" s="300"/>
      <c r="E62" s="300"/>
      <c r="F62" s="300"/>
      <c r="G62" s="300"/>
      <c r="H62" s="275"/>
      <c r="K62" s="272"/>
      <c r="L62" s="272"/>
      <c r="M62" s="272"/>
    </row>
    <row r="63" spans="1:15" ht="13" thickBot="1" x14ac:dyDescent="0.4">
      <c r="A63" s="310" t="s">
        <v>20</v>
      </c>
      <c r="B63" s="311"/>
      <c r="C63" s="311"/>
      <c r="D63" s="311"/>
      <c r="E63" s="311"/>
      <c r="F63" s="311"/>
      <c r="G63" s="311"/>
      <c r="H63" s="276"/>
    </row>
    <row r="64" spans="1:15" x14ac:dyDescent="0.35">
      <c r="K64" s="272"/>
      <c r="L64" s="272"/>
    </row>
    <row r="65" spans="1:4" x14ac:dyDescent="0.35">
      <c r="A65" s="309" t="s">
        <v>143</v>
      </c>
      <c r="B65" s="300"/>
      <c r="C65" s="300"/>
      <c r="D65" s="300"/>
    </row>
    <row r="66" spans="1:4" x14ac:dyDescent="0.35">
      <c r="A66" s="232" t="s">
        <v>145</v>
      </c>
      <c r="B66" s="308"/>
      <c r="C66" s="308"/>
      <c r="D66" s="308"/>
    </row>
    <row r="67" spans="1:4" ht="14.5" x14ac:dyDescent="0.35">
      <c r="A67" s="277"/>
    </row>
  </sheetData>
  <sheetProtection password="DC7E" sheet="1" objects="1" scenarios="1" selectLockedCells="1"/>
  <mergeCells count="31">
    <mergeCell ref="A62:G62"/>
    <mergeCell ref="B66:D66"/>
    <mergeCell ref="A65:D65"/>
    <mergeCell ref="E44:G44"/>
    <mergeCell ref="A44:A45"/>
    <mergeCell ref="D52:D53"/>
    <mergeCell ref="A51:H51"/>
    <mergeCell ref="A63:G63"/>
    <mergeCell ref="A60:G60"/>
    <mergeCell ref="A61:G61"/>
    <mergeCell ref="A59:H59"/>
    <mergeCell ref="C52:C53"/>
    <mergeCell ref="E52:H52"/>
    <mergeCell ref="A2:N2"/>
    <mergeCell ref="A4:N4"/>
    <mergeCell ref="C5:I5"/>
    <mergeCell ref="J5:M5"/>
    <mergeCell ref="N5:N6"/>
    <mergeCell ref="A3:N3"/>
    <mergeCell ref="B5:B6"/>
    <mergeCell ref="A5:A7"/>
    <mergeCell ref="A17:F17"/>
    <mergeCell ref="B18:B19"/>
    <mergeCell ref="A18:A19"/>
    <mergeCell ref="A52:A53"/>
    <mergeCell ref="A29:A30"/>
    <mergeCell ref="A43:G43"/>
    <mergeCell ref="B44:B45"/>
    <mergeCell ref="B52:B53"/>
    <mergeCell ref="D44:D45"/>
    <mergeCell ref="C44:C45"/>
  </mergeCells>
  <phoneticPr fontId="27" type="noConversion"/>
  <dataValidations count="42">
    <dataValidation type="list" allowBlank="1" showInputMessage="1" showErrorMessage="1" promptTitle="MEHANIZACIJA - VRSTA" prompt="Izabrati ponuđeno iz padajućeg izbornika." sqref="A49">
      <formula1>STROJ</formula1>
    </dataValidation>
    <dataValidation type="list" allowBlank="1" showInputMessage="1" showErrorMessage="1" promptTitle="VLASNIŠTVO" prompt="Izabrati ponuđeno iz padajućeg izbornika." sqref="F57">
      <formula1>"DA,NE"</formula1>
    </dataValidation>
    <dataValidation type="list" allowBlank="1" showInputMessage="1" showErrorMessage="1" promptTitle="OBJEKTI" prompt="Izabrati ponuđeno iz padajućeg izbornika." sqref="A57">
      <formula1>OBJEKT</formula1>
    </dataValidation>
    <dataValidation allowBlank="1" showInputMessage="1" showErrorMessage="1" promptTitle="VLASTITO" prompt="Izražava se numerički u ha. " sqref="C8:C14"/>
    <dataValidation allowBlank="1" showInputMessage="1" showErrorMessage="1" promptTitle="DRŽAVNO - ZAKUP" prompt="Izražava se numerički u ha za zemljište koje je u vlasništvu RH, a koristi se temeljem ugovora o zakupu, privremenom zakupu ili koncesiji. Ako ponuditelj koristi poljoprivredno zemljište u vlasništvu RH po više osnova zakupa, isto se izražava sumarno." sqref="D8:D14"/>
    <dataValidation allowBlank="1" showInputMessage="1" showErrorMessage="1" promptTitle="POČETAK ZAKUPA" prompt="Upisuje se datum početka zakupa državnog zemljišta. Ukoliko ponuditelj koristi poljoprivredno zemljište u vlasništvu RH po više osnova zakupa, upisuje datum početka zakupa koji je ugovoren na najdulji vremenski rok." sqref="E8:E14"/>
    <dataValidation allowBlank="1" showInputMessage="1" showErrorMessage="1" promptTitle="TRAJANJE ZAKUPA" prompt="Sukladno ugovoru upisuje se broj godina korištenja predmetnog zemljišta. Ukoliko ponuditelj koristi poljoprivredno zemljište u vlasništvu RH po više osnova zakupa, upisuje broj godina sukladno ugovoru o zakupu ugovorenom na najdulji vremenski rok." sqref="F8:F14"/>
    <dataValidation allowBlank="1" showInputMessage="1" showErrorMessage="1" promptTitle="PRIVATNO U ZAKUPU" prompt="Izražava se numerički u ha za zemljište koje je u privatnom vlasništvu a koristi se temeljem valjanog ugovora o zakupu." sqref="G8:G14"/>
    <dataValidation allowBlank="1" showInputMessage="1" showErrorMessage="1" promptTitle="POČETAK ZAKUPA" prompt="Upisuje se datum početka zakupa privatnog  zemljišta." sqref="H8:H14"/>
    <dataValidation allowBlank="1" showInputMessage="1" showErrorMessage="1" promptTitle="TRAJANJE ZAKUPA" prompt="Sukladno valjanom ugovoru upisuje se broj godina korištenja predmetnog privatnog zemljišta." sqref="I8:I14"/>
    <dataValidation allowBlank="1" showInputMessage="1" showErrorMessage="1" promptTitle="CERTIFICIRANA EKOLOŠKA" prompt="Upisuju se numerički izražene površine (u ha) koje su u sustavu ekološke proizvodnje." sqref="J8:J14"/>
    <dataValidation allowBlank="1" showInputMessage="1" showErrorMessage="1" promptTitle="EKOLOŠKA U PRIJELAZNOM" prompt="Upisuju se numerički izražene površine (u ha) koje su u prijelaznom razdoblju sustava ekološke proizvodnje." sqref="K8:K14"/>
    <dataValidation allowBlank="1" showInputMessage="1" showErrorMessage="1" promptTitle="INTEGRIRANA PROIZVODNJA" prompt="Upisuju se numerički izražene površine (u ha) koje su u sustavu integrirane proizvodnje." sqref="L8:L14"/>
    <dataValidation allowBlank="1" showInputMessage="1" showErrorMessage="1" promptTitle="SJEMENSKA PROIZVODNJA" prompt="Upisuju se numerički izražene površine (u ha) koje su u sustavu sjemenske proizvodnje." sqref="M8:M14"/>
    <dataValidation allowBlank="1" showInputMessage="1" showErrorMessage="1" promptTitle="STAROST NASADA" prompt="Upisuje se prosječna starost nasada izražena numerički u godinama." sqref="N8:N14"/>
    <dataValidation allowBlank="1" showInputMessage="1" showErrorMessage="1" promptTitle="PROIZVODNJA - POVRŠINA" prompt="Upisuje se numerički izražena ukupna površina u ha na kojoj se odvija proizvodnja a sukladno vrsti biljne proizvodnje." sqref="B20:B27"/>
    <dataValidation allowBlank="1" showInputMessage="1" showErrorMessage="1" promptTitle="PROIZVODNJA - tone/hl" prompt="Upisuje se numerički izražen godišnji prinos u tonama ili hektolitrima a sukladno vrsti proizvodnje." sqref="C27"/>
    <dataValidation allowBlank="1" showInputMessage="1" showErrorMessage="1" promptTitle="GEOGRAFSKO PODRIJETLO" prompt="Upisuje se numerički izražen prinos u tonama ili hektolitrima koji je zaštićen geografskim podrijetlom." sqref="D20:D27"/>
    <dataValidation type="list" allowBlank="1" showInputMessage="1" showErrorMessage="1" promptTitle="REGISTRACIJA SKLADIŠTA" prompt="Izabrati ponuđeno iz padajućeg izbornika." sqref="F20:F27">
      <formula1>"DA,NE"</formula1>
    </dataValidation>
    <dataValidation allowBlank="1" showInputMessage="1" showErrorMessage="1" promptTitle="PRIRAST" prompt="Sukladno ponuđenoj stočarskoj proizvodnji upisuje se numerički izražen prirast u kg/l/kom." sqref="D31:D41"/>
    <dataValidation type="list" allowBlank="1" showInputMessage="1" showErrorMessage="1" promptTitle="MEHANIZACIJA - VRSTA" prompt="Izabrati ponuđeno iz padajućeg izbornika." sqref="A46:A48">
      <formula1>STROJ</formula1>
    </dataValidation>
    <dataValidation type="list" allowBlank="1" showInputMessage="1" showErrorMessage="1" promptTitle="PLAĆENO U POTPUNOSTI" prompt="Izabrati ponuđeno iz padajućeg izbornika." sqref="E46:E49">
      <formula1>"DA,NE"</formula1>
    </dataValidation>
    <dataValidation allowBlank="1" showInputMessage="1" showErrorMessage="1" promptTitle="LEASING" prompt="Upisati godinu isteka leasinga." sqref="F46:F49"/>
    <dataValidation allowBlank="1" showInputMessage="1" showErrorMessage="1" promptTitle="KREDIT" prompt="Upisati godinu isteka kredita." sqref="G46:G49"/>
    <dataValidation allowBlank="1" showInputMessage="1" showErrorMessage="1" promptTitle="PROIZVODNJA - tone/hl" prompt="Upisuje se numerički izražen godišnji prinos u tonama ili hektolitrima a sukladno vrsti proizvodnje." sqref="C20:C26"/>
    <dataValidation allowBlank="1" showErrorMessage="1" promptTitle="PLAĆENO U POTPUNOSTI" prompt="Izabrati ponuđeno iz padajućeg izbornika." sqref="E50"/>
    <dataValidation type="list" allowBlank="1" showInputMessage="1" showErrorMessage="1" promptTitle="OBJEKTI" prompt="Izabrati ponuđeno iz padajućeg izbornika." sqref="A54:A56">
      <formula1>OBJEKT</formula1>
    </dataValidation>
    <dataValidation allowBlank="1" showInputMessage="1" showErrorMessage="1" promptTitle="KAPACITET" prompt="Upisati kapacitet odabranog objekta." sqref="B54:B57"/>
    <dataValidation allowBlank="1" showInputMessage="1" showErrorMessage="1" promptTitle="GODINA IZGRADNJE" prompt="Upisati godinu izgradnje odabranog objekta." sqref="C54:C57"/>
    <dataValidation type="list" allowBlank="1" showInputMessage="1" showErrorMessage="1" promptTitle="LEGALIZACIJA" prompt="Izabrati ponuđeno iz padajućeg izbornika." sqref="D54:D57">
      <formula1>"DA,NE"</formula1>
    </dataValidation>
    <dataValidation type="list" allowBlank="1" showInputMessage="1" showErrorMessage="1" promptTitle="VLASNIŠTVO" prompt="Izabrati ponuđeno iz padajućeg izbornika." sqref="E54:E57 F54:F56">
      <formula1>"DA,NE"</formula1>
    </dataValidation>
    <dataValidation allowBlank="1" showInputMessage="1" showErrorMessage="1" promptTitle="ZAKUP" prompt="Upisati godinu početka zakupa objekta." sqref="G54:G57"/>
    <dataValidation allowBlank="1" showInputMessage="1" showErrorMessage="1" promptTitle="ZAKUP" prompt="Upisati numerički trajanje zakupa objekta u godinama." sqref="H54:H57"/>
    <dataValidation allowBlank="1" showInputMessage="1" showErrorMessage="1" promptTitle="STALNO ZAPOSLENI" prompt="Upisuje se broj zaposlenih na neodređeno vrijeme." sqref="H61"/>
    <dataValidation allowBlank="1" showInputMessage="1" showErrorMessage="1" promptTitle="ZAPOSLENI NA ODREĐENO VRIJEME" prompt="Upisuje se broj zaposlenih na određeno vrijeme." sqref="H62"/>
    <dataValidation allowBlank="1" showInputMessage="1" showErrorMessage="1" promptTitle="SEZONSKA RADNA SNAGA" prompt="Upisuje se sezonska radna snaga u koju se ubraja i rad na dnevnoj osnovi (poljoprivredne markice)." sqref="H63"/>
    <dataValidation type="list" allowBlank="1" showInputMessage="1" showErrorMessage="1" promptTitle="PRODAJA" prompt="Odabrati ponuđeno iz padajućeg izbornika." sqref="B66:D66">
      <formula1>PRODAJA</formula1>
    </dataValidation>
    <dataValidation allowBlank="1" showInputMessage="1" showErrorMessage="1" promptTitle="UKUPNO GRLA/GLAVA" prompt="Sukladno stočarskoj proizvodnji upisuje se numerički izražen ukupan broj grla odnosno glava stoke, sukladno izvodu JRDŽ." sqref="B31:B41"/>
    <dataValidation allowBlank="1" showInputMessage="1" showErrorMessage="1" promptTitle="GODINA PROIZVODNJE" prompt="Upisati posljednju godinu proizvodnje traktora sukladno podacima iz prometne dozvole." sqref="D46:D49"/>
    <dataValidation allowBlank="1" showInputMessage="1" showErrorMessage="1" promptTitle="KOLIČINA" prompt="Upisati ukupan broj komada traktora." sqref="B46:B49"/>
    <dataValidation allowBlank="1" showInputMessage="1" showErrorMessage="1" promptTitle="SNAGA" prompt="Upisati ukupnu (zbrojenu) snagu svih traktora  u kW." sqref="C46:C49"/>
    <dataValidation allowBlank="1" showInputMessage="1" showErrorMessage="1" promptTitle="KAPACITET SKLADIŠTA" prompt="Upisuje se skladišni kapacitet objekata za skladištenje, doradu ili preradu, izražen numerički u tonama." sqref="E20:E27"/>
  </dataValidations>
  <pageMargins left="0.70866141732283472" right="0.70866141732283472" top="1.1417322834645669" bottom="0.74803149606299213" header="0.31496062992125984" footer="0.31496062992125984"/>
  <pageSetup paperSize="9" scale="67" orientation="landscape" r:id="rId1"/>
  <headerFooter>
    <oddHeader>&amp;L&amp;G&amp;C
OBRAZAC GOSPODARSKOG PROGRAMA ZA
 KORIŠTENJE POLJOPRIVREDNOG ZEMLJIŠTA U
 VLASNIŠTVU DRŽAVE&amp;R
Stranica &amp;P od &amp;N
&amp;A</oddHeader>
  </headerFooter>
  <rowBreaks count="2" manualBreakCount="2">
    <brk id="41" max="12" man="1"/>
    <brk id="74" max="12" man="1"/>
  </rowBreaks>
  <colBreaks count="1" manualBreakCount="1">
    <brk id="14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4" tint="-0.499984740745262"/>
  </sheetPr>
  <dimension ref="A1:IS76"/>
  <sheetViews>
    <sheetView showRowColHeaders="0" view="pageBreakPreview" topLeftCell="A61" zoomScale="130" zoomScaleNormal="100" zoomScaleSheetLayoutView="130" workbookViewId="0">
      <selection activeCell="B31" sqref="B31:D31"/>
    </sheetView>
  </sheetViews>
  <sheetFormatPr defaultColWidth="9" defaultRowHeight="15" x14ac:dyDescent="0.4"/>
  <cols>
    <col min="1" max="1" width="9" style="1"/>
    <col min="2" max="2" width="31.25" style="1" bestFit="1" customWidth="1"/>
    <col min="3" max="3" width="11" style="1" bestFit="1" customWidth="1"/>
    <col min="4" max="6" width="19.33203125" style="1" customWidth="1"/>
    <col min="7" max="7" width="19.83203125" style="1" bestFit="1" customWidth="1"/>
    <col min="8" max="8" width="9" style="1"/>
    <col min="9" max="9" width="9.5" style="1" bestFit="1" customWidth="1"/>
    <col min="10" max="11" width="9" style="1"/>
    <col min="12" max="12" width="0" style="1" hidden="1" customWidth="1"/>
    <col min="13" max="16384" width="9" style="1"/>
  </cols>
  <sheetData>
    <row r="1" spans="1:253" ht="19" thickBot="1" x14ac:dyDescent="0.5">
      <c r="A1" s="329" t="s">
        <v>197</v>
      </c>
      <c r="B1" s="329"/>
      <c r="C1" s="329"/>
      <c r="D1" s="329"/>
      <c r="E1" s="329"/>
      <c r="F1" s="329"/>
      <c r="G1" s="329"/>
    </row>
    <row r="2" spans="1:253" x14ac:dyDescent="0.4">
      <c r="A2" s="318" t="s">
        <v>90</v>
      </c>
      <c r="B2" s="319"/>
      <c r="C2" s="319"/>
      <c r="D2" s="319"/>
      <c r="E2" s="319"/>
      <c r="F2" s="319"/>
      <c r="G2" s="320"/>
    </row>
    <row r="3" spans="1:253" x14ac:dyDescent="0.4">
      <c r="A3" s="330" t="s">
        <v>190</v>
      </c>
      <c r="B3" s="331"/>
      <c r="C3" s="331"/>
      <c r="D3" s="331"/>
      <c r="E3" s="331"/>
      <c r="F3" s="331"/>
      <c r="G3" s="332"/>
      <c r="H3" s="146"/>
      <c r="I3" s="146"/>
      <c r="J3" s="146"/>
    </row>
    <row r="4" spans="1:253" x14ac:dyDescent="0.4">
      <c r="A4" s="321" t="s">
        <v>84</v>
      </c>
      <c r="B4" s="326" t="s">
        <v>80</v>
      </c>
      <c r="C4" s="333"/>
      <c r="D4" s="333"/>
      <c r="E4" s="333"/>
      <c r="F4" s="36" t="s">
        <v>81</v>
      </c>
      <c r="G4" s="37" t="s">
        <v>157</v>
      </c>
      <c r="H4" s="146"/>
      <c r="I4" s="146"/>
      <c r="J4" s="146"/>
    </row>
    <row r="5" spans="1:253" x14ac:dyDescent="0.4">
      <c r="A5" s="321"/>
      <c r="B5" s="324"/>
      <c r="C5" s="325"/>
      <c r="D5" s="325"/>
      <c r="E5" s="325"/>
      <c r="F5" s="209"/>
      <c r="G5" s="15"/>
      <c r="H5" s="146"/>
      <c r="J5" s="146"/>
      <c r="IS5" s="146">
        <f>SUM(F5:F9,CVIJEĆE)</f>
        <v>0</v>
      </c>
    </row>
    <row r="6" spans="1:253" x14ac:dyDescent="0.4">
      <c r="A6" s="321"/>
      <c r="B6" s="324"/>
      <c r="C6" s="325"/>
      <c r="D6" s="325"/>
      <c r="E6" s="325"/>
      <c r="F6" s="209"/>
      <c r="G6" s="15"/>
      <c r="H6" s="146"/>
      <c r="J6" s="146"/>
      <c r="IS6" s="146"/>
    </row>
    <row r="7" spans="1:253" x14ac:dyDescent="0.4">
      <c r="A7" s="321"/>
      <c r="B7" s="324"/>
      <c r="C7" s="325"/>
      <c r="D7" s="325"/>
      <c r="E7" s="325"/>
      <c r="F7" s="209"/>
      <c r="G7" s="15"/>
      <c r="H7" s="146"/>
      <c r="I7" s="322" t="str">
        <f>IF(SUM(F5:F9,F11:F15,C17:C22,E24:E27,E29:E32,E34:E38)&gt;PONUDA!I35,"Površina upisana u ovom listu je veća od površine koja je u natječaju - molimo provjeriti ukupno upisane površine","")</f>
        <v/>
      </c>
      <c r="J7" s="323"/>
      <c r="K7" s="323"/>
      <c r="IS7" s="146"/>
    </row>
    <row r="8" spans="1:253" x14ac:dyDescent="0.4">
      <c r="A8" s="321"/>
      <c r="B8" s="324"/>
      <c r="C8" s="325"/>
      <c r="D8" s="325"/>
      <c r="E8" s="325"/>
      <c r="F8" s="209"/>
      <c r="G8" s="15"/>
      <c r="H8" s="146"/>
      <c r="I8" s="323"/>
      <c r="J8" s="323"/>
      <c r="K8" s="323"/>
      <c r="IS8" s="146"/>
    </row>
    <row r="9" spans="1:253" x14ac:dyDescent="0.4">
      <c r="A9" s="321"/>
      <c r="B9" s="324"/>
      <c r="C9" s="325"/>
      <c r="D9" s="325"/>
      <c r="E9" s="325"/>
      <c r="F9" s="209"/>
      <c r="G9" s="15"/>
      <c r="H9" s="146"/>
      <c r="I9" s="323"/>
      <c r="J9" s="323"/>
      <c r="K9" s="323"/>
      <c r="IS9" s="146"/>
    </row>
    <row r="10" spans="1:253" x14ac:dyDescent="0.4">
      <c r="A10" s="321" t="s">
        <v>85</v>
      </c>
      <c r="B10" s="326" t="s">
        <v>80</v>
      </c>
      <c r="C10" s="327"/>
      <c r="D10" s="327"/>
      <c r="E10" s="327"/>
      <c r="F10" s="36" t="s">
        <v>81</v>
      </c>
      <c r="G10" s="37" t="s">
        <v>157</v>
      </c>
      <c r="H10" s="146"/>
      <c r="I10" s="323"/>
      <c r="J10" s="323"/>
      <c r="K10" s="323"/>
      <c r="IS10" s="146"/>
    </row>
    <row r="11" spans="1:253" x14ac:dyDescent="0.4">
      <c r="A11" s="321"/>
      <c r="B11" s="324"/>
      <c r="C11" s="325"/>
      <c r="D11" s="325"/>
      <c r="E11" s="325"/>
      <c r="F11" s="209"/>
      <c r="G11" s="15"/>
      <c r="H11" s="146"/>
      <c r="I11" s="323"/>
      <c r="J11" s="323"/>
      <c r="K11" s="323"/>
      <c r="IS11" s="146">
        <f>SUM(POVRĆE,CVIJEĆE)</f>
        <v>0</v>
      </c>
    </row>
    <row r="12" spans="1:253" x14ac:dyDescent="0.4">
      <c r="A12" s="321"/>
      <c r="B12" s="324"/>
      <c r="C12" s="325"/>
      <c r="D12" s="325"/>
      <c r="E12" s="325"/>
      <c r="F12" s="209"/>
      <c r="G12" s="15"/>
      <c r="H12" s="146"/>
      <c r="I12" s="323"/>
      <c r="J12" s="323"/>
      <c r="K12" s="323"/>
      <c r="IS12" s="199" t="str">
        <f>IF(OR(A60&lt;&gt;"",A61&lt;&gt;"",A62&lt;&gt;"",A63&lt;&gt;"",A66&lt;&gt;"",A67&lt;&gt;"",A68&lt;&gt;""),"DA","NE")</f>
        <v>NE</v>
      </c>
    </row>
    <row r="13" spans="1:253" x14ac:dyDescent="0.4">
      <c r="A13" s="321"/>
      <c r="B13" s="324"/>
      <c r="C13" s="325"/>
      <c r="D13" s="325"/>
      <c r="E13" s="325"/>
      <c r="F13" s="209"/>
      <c r="G13" s="15"/>
      <c r="H13" s="146"/>
      <c r="I13" s="323"/>
      <c r="J13" s="323"/>
      <c r="K13" s="323"/>
    </row>
    <row r="14" spans="1:253" x14ac:dyDescent="0.4">
      <c r="A14" s="321"/>
      <c r="B14" s="324"/>
      <c r="C14" s="325"/>
      <c r="D14" s="325"/>
      <c r="E14" s="325"/>
      <c r="F14" s="209"/>
      <c r="G14" s="15"/>
      <c r="H14" s="146"/>
      <c r="I14" s="323"/>
      <c r="J14" s="323"/>
      <c r="K14" s="323"/>
    </row>
    <row r="15" spans="1:253" x14ac:dyDescent="0.4">
      <c r="A15" s="321"/>
      <c r="B15" s="324"/>
      <c r="C15" s="325"/>
      <c r="D15" s="325"/>
      <c r="E15" s="325"/>
      <c r="F15" s="209"/>
      <c r="G15" s="15"/>
      <c r="H15" s="146"/>
      <c r="I15" s="323"/>
      <c r="J15" s="323"/>
      <c r="K15" s="323"/>
    </row>
    <row r="16" spans="1:253" x14ac:dyDescent="0.4">
      <c r="A16" s="321" t="s">
        <v>86</v>
      </c>
      <c r="B16" s="36" t="s">
        <v>79</v>
      </c>
      <c r="C16" s="36" t="s">
        <v>81</v>
      </c>
      <c r="D16" s="36" t="s">
        <v>77</v>
      </c>
      <c r="E16" s="36" t="s">
        <v>76</v>
      </c>
      <c r="F16" s="36" t="s">
        <v>78</v>
      </c>
      <c r="G16" s="37" t="s">
        <v>157</v>
      </c>
      <c r="H16" s="146"/>
      <c r="I16" s="146"/>
      <c r="J16" s="146"/>
    </row>
    <row r="17" spans="1:14" x14ac:dyDescent="0.4">
      <c r="A17" s="321"/>
      <c r="B17" s="5"/>
      <c r="C17" s="209"/>
      <c r="D17" s="5"/>
      <c r="E17" s="5"/>
      <c r="F17" s="5"/>
      <c r="G17" s="15"/>
      <c r="H17" s="146"/>
      <c r="I17" s="146"/>
      <c r="J17" s="146"/>
    </row>
    <row r="18" spans="1:14" x14ac:dyDescent="0.4">
      <c r="A18" s="321"/>
      <c r="B18" s="5"/>
      <c r="C18" s="209"/>
      <c r="D18" s="5"/>
      <c r="E18" s="5"/>
      <c r="F18" s="5"/>
      <c r="G18" s="15"/>
    </row>
    <row r="19" spans="1:14" x14ac:dyDescent="0.4">
      <c r="A19" s="321"/>
      <c r="B19" s="5"/>
      <c r="C19" s="209"/>
      <c r="D19" s="5"/>
      <c r="E19" s="5"/>
      <c r="F19" s="5"/>
      <c r="G19" s="15"/>
    </row>
    <row r="20" spans="1:14" x14ac:dyDescent="0.4">
      <c r="A20" s="321"/>
      <c r="B20" s="5"/>
      <c r="C20" s="209"/>
      <c r="D20" s="5"/>
      <c r="E20" s="5"/>
      <c r="F20" s="5"/>
      <c r="G20" s="15"/>
    </row>
    <row r="21" spans="1:14" x14ac:dyDescent="0.4">
      <c r="A21" s="321"/>
      <c r="B21" s="5"/>
      <c r="C21" s="209"/>
      <c r="D21" s="5"/>
      <c r="E21" s="5"/>
      <c r="F21" s="5"/>
      <c r="G21" s="15"/>
      <c r="N21" s="3"/>
    </row>
    <row r="22" spans="1:14" x14ac:dyDescent="0.4">
      <c r="A22" s="321"/>
      <c r="B22" s="5"/>
      <c r="C22" s="209"/>
      <c r="D22" s="5"/>
      <c r="E22" s="5"/>
      <c r="F22" s="5"/>
      <c r="G22" s="15"/>
    </row>
    <row r="23" spans="1:14" ht="17.25" customHeight="1" x14ac:dyDescent="0.4">
      <c r="A23" s="321" t="s">
        <v>87</v>
      </c>
      <c r="B23" s="326" t="s">
        <v>77</v>
      </c>
      <c r="C23" s="326"/>
      <c r="D23" s="326"/>
      <c r="E23" s="36" t="s">
        <v>81</v>
      </c>
      <c r="F23" s="36" t="s">
        <v>82</v>
      </c>
      <c r="G23" s="37" t="s">
        <v>157</v>
      </c>
    </row>
    <row r="24" spans="1:14" ht="17.25" customHeight="1" x14ac:dyDescent="0.4">
      <c r="A24" s="321"/>
      <c r="B24" s="324"/>
      <c r="C24" s="325"/>
      <c r="D24" s="325"/>
      <c r="E24" s="209"/>
      <c r="F24" s="5"/>
      <c r="G24" s="15"/>
    </row>
    <row r="25" spans="1:14" ht="17.25" customHeight="1" x14ac:dyDescent="0.4">
      <c r="A25" s="321"/>
      <c r="B25" s="324"/>
      <c r="C25" s="325"/>
      <c r="D25" s="325"/>
      <c r="E25" s="209"/>
      <c r="F25" s="5"/>
      <c r="G25" s="15"/>
    </row>
    <row r="26" spans="1:14" ht="17.25" customHeight="1" x14ac:dyDescent="0.4">
      <c r="A26" s="321"/>
      <c r="B26" s="324"/>
      <c r="C26" s="325"/>
      <c r="D26" s="325"/>
      <c r="E26" s="209"/>
      <c r="F26" s="5"/>
      <c r="G26" s="15"/>
    </row>
    <row r="27" spans="1:14" ht="17.25" customHeight="1" x14ac:dyDescent="0.4">
      <c r="A27" s="321"/>
      <c r="B27" s="324"/>
      <c r="C27" s="325"/>
      <c r="D27" s="325"/>
      <c r="E27" s="209"/>
      <c r="F27" s="5"/>
      <c r="G27" s="15"/>
      <c r="N27" s="3"/>
    </row>
    <row r="28" spans="1:14" x14ac:dyDescent="0.4">
      <c r="A28" s="321" t="s">
        <v>88</v>
      </c>
      <c r="B28" s="326" t="s">
        <v>77</v>
      </c>
      <c r="C28" s="326"/>
      <c r="D28" s="326"/>
      <c r="E28" s="36" t="s">
        <v>81</v>
      </c>
      <c r="F28" s="36" t="s">
        <v>76</v>
      </c>
      <c r="G28" s="37" t="s">
        <v>157</v>
      </c>
      <c r="N28" s="3"/>
    </row>
    <row r="29" spans="1:14" x14ac:dyDescent="0.4">
      <c r="A29" s="321"/>
      <c r="B29" s="324"/>
      <c r="C29" s="325"/>
      <c r="D29" s="325"/>
      <c r="E29" s="209"/>
      <c r="F29" s="5"/>
      <c r="G29" s="15"/>
      <c r="N29" s="3"/>
    </row>
    <row r="30" spans="1:14" x14ac:dyDescent="0.4">
      <c r="A30" s="321"/>
      <c r="B30" s="324"/>
      <c r="C30" s="325"/>
      <c r="D30" s="325"/>
      <c r="E30" s="209"/>
      <c r="F30" s="5"/>
      <c r="G30" s="15"/>
      <c r="N30" s="3"/>
    </row>
    <row r="31" spans="1:14" x14ac:dyDescent="0.4">
      <c r="A31" s="321"/>
      <c r="B31" s="324"/>
      <c r="C31" s="325"/>
      <c r="D31" s="325"/>
      <c r="E31" s="209"/>
      <c r="F31" s="5"/>
      <c r="G31" s="15"/>
      <c r="N31" s="3"/>
    </row>
    <row r="32" spans="1:14" x14ac:dyDescent="0.4">
      <c r="A32" s="321"/>
      <c r="B32" s="324"/>
      <c r="C32" s="325"/>
      <c r="D32" s="325"/>
      <c r="E32" s="209"/>
      <c r="F32" s="5"/>
      <c r="G32" s="15"/>
      <c r="N32" s="3"/>
    </row>
    <row r="33" spans="1:9" x14ac:dyDescent="0.4">
      <c r="A33" s="321" t="s">
        <v>89</v>
      </c>
      <c r="B33" s="326" t="s">
        <v>80</v>
      </c>
      <c r="C33" s="326"/>
      <c r="D33" s="326"/>
      <c r="E33" s="36" t="s">
        <v>81</v>
      </c>
      <c r="F33" s="36" t="s">
        <v>83</v>
      </c>
      <c r="G33" s="37" t="s">
        <v>157</v>
      </c>
    </row>
    <row r="34" spans="1:9" x14ac:dyDescent="0.4">
      <c r="A34" s="321"/>
      <c r="B34" s="324"/>
      <c r="C34" s="325"/>
      <c r="D34" s="325"/>
      <c r="E34" s="209"/>
      <c r="F34" s="5"/>
      <c r="G34" s="15"/>
    </row>
    <row r="35" spans="1:9" x14ac:dyDescent="0.4">
      <c r="A35" s="321"/>
      <c r="B35" s="324"/>
      <c r="C35" s="325"/>
      <c r="D35" s="325"/>
      <c r="E35" s="209"/>
      <c r="F35" s="5"/>
      <c r="G35" s="15"/>
    </row>
    <row r="36" spans="1:9" x14ac:dyDescent="0.4">
      <c r="A36" s="321"/>
      <c r="B36" s="324"/>
      <c r="C36" s="325"/>
      <c r="D36" s="325"/>
      <c r="E36" s="209"/>
      <c r="F36" s="5"/>
      <c r="G36" s="15"/>
    </row>
    <row r="37" spans="1:9" x14ac:dyDescent="0.4">
      <c r="A37" s="321"/>
      <c r="B37" s="324"/>
      <c r="C37" s="325"/>
      <c r="D37" s="325"/>
      <c r="E37" s="209"/>
      <c r="F37" s="5"/>
      <c r="G37" s="15"/>
    </row>
    <row r="38" spans="1:9" ht="15.5" thickBot="1" x14ac:dyDescent="0.45">
      <c r="A38" s="346"/>
      <c r="B38" s="336"/>
      <c r="C38" s="337"/>
      <c r="D38" s="337"/>
      <c r="E38" s="209"/>
      <c r="F38" s="35"/>
      <c r="G38" s="15"/>
    </row>
    <row r="39" spans="1:9" ht="15.5" thickBot="1" x14ac:dyDescent="0.45">
      <c r="A39" s="33"/>
      <c r="B39" s="6"/>
      <c r="C39" s="6"/>
      <c r="D39" s="6"/>
      <c r="E39" s="4"/>
      <c r="F39" s="4"/>
      <c r="G39" s="34"/>
    </row>
    <row r="40" spans="1:9" x14ac:dyDescent="0.4">
      <c r="A40" s="318" t="s">
        <v>189</v>
      </c>
      <c r="B40" s="319"/>
      <c r="C40" s="319"/>
      <c r="D40" s="319"/>
      <c r="E40" s="319"/>
      <c r="F40" s="319"/>
      <c r="G40" s="320"/>
    </row>
    <row r="41" spans="1:9" ht="25" x14ac:dyDescent="0.4">
      <c r="A41" s="334" t="s">
        <v>122</v>
      </c>
      <c r="B41" s="38" t="s">
        <v>79</v>
      </c>
      <c r="C41" s="338" t="s">
        <v>123</v>
      </c>
      <c r="D41" s="339"/>
      <c r="E41" s="339"/>
      <c r="F41" s="38" t="s">
        <v>124</v>
      </c>
      <c r="G41" s="39" t="s">
        <v>236</v>
      </c>
    </row>
    <row r="42" spans="1:9" x14ac:dyDescent="0.4">
      <c r="A42" s="334"/>
      <c r="B42" s="2" t="s">
        <v>11</v>
      </c>
      <c r="C42" s="324"/>
      <c r="D42" s="325"/>
      <c r="E42" s="325"/>
      <c r="F42" s="210"/>
      <c r="G42" s="211"/>
      <c r="I42" s="147">
        <f>F42</f>
        <v>0</v>
      </c>
    </row>
    <row r="43" spans="1:9" x14ac:dyDescent="0.4">
      <c r="A43" s="334"/>
      <c r="B43" s="2" t="s">
        <v>228</v>
      </c>
      <c r="C43" s="324"/>
      <c r="D43" s="325"/>
      <c r="E43" s="325"/>
      <c r="F43" s="210"/>
      <c r="G43" s="211"/>
      <c r="I43" s="10"/>
    </row>
    <row r="44" spans="1:9" x14ac:dyDescent="0.4">
      <c r="A44" s="334"/>
      <c r="B44" s="2" t="s">
        <v>227</v>
      </c>
      <c r="C44" s="324"/>
      <c r="D44" s="325"/>
      <c r="E44" s="325"/>
      <c r="F44" s="210"/>
      <c r="G44" s="211"/>
      <c r="I44" s="10"/>
    </row>
    <row r="45" spans="1:9" x14ac:dyDescent="0.4">
      <c r="A45" s="334"/>
      <c r="B45" s="2" t="s">
        <v>12</v>
      </c>
      <c r="C45" s="324"/>
      <c r="D45" s="325"/>
      <c r="E45" s="325"/>
      <c r="F45" s="210"/>
      <c r="G45" s="211"/>
      <c r="I45" s="10"/>
    </row>
    <row r="46" spans="1:9" x14ac:dyDescent="0.4">
      <c r="A46" s="334"/>
      <c r="B46" s="2" t="s">
        <v>13</v>
      </c>
      <c r="C46" s="324"/>
      <c r="D46" s="325"/>
      <c r="E46" s="325"/>
      <c r="F46" s="210"/>
      <c r="G46" s="211"/>
      <c r="I46" s="10"/>
    </row>
    <row r="47" spans="1:9" x14ac:dyDescent="0.4">
      <c r="A47" s="334"/>
      <c r="B47" s="2" t="s">
        <v>14</v>
      </c>
      <c r="C47" s="324"/>
      <c r="D47" s="325"/>
      <c r="E47" s="325"/>
      <c r="F47" s="210"/>
      <c r="G47" s="211"/>
      <c r="I47" s="10"/>
    </row>
    <row r="48" spans="1:9" x14ac:dyDescent="0.4">
      <c r="A48" s="334"/>
      <c r="B48" s="2" t="s">
        <v>15</v>
      </c>
      <c r="C48" s="324"/>
      <c r="D48" s="325"/>
      <c r="E48" s="325"/>
      <c r="F48" s="210"/>
      <c r="G48" s="211"/>
      <c r="I48" s="10"/>
    </row>
    <row r="49" spans="1:15" x14ac:dyDescent="0.4">
      <c r="A49" s="334"/>
      <c r="B49" s="2" t="s">
        <v>16</v>
      </c>
      <c r="C49" s="328"/>
      <c r="D49" s="325"/>
      <c r="E49" s="325"/>
      <c r="F49" s="210"/>
      <c r="G49" s="211"/>
      <c r="I49" s="10"/>
    </row>
    <row r="50" spans="1:15" x14ac:dyDescent="0.4">
      <c r="A50" s="334"/>
      <c r="B50" s="2" t="s">
        <v>17</v>
      </c>
      <c r="C50" s="324"/>
      <c r="D50" s="325"/>
      <c r="E50" s="325"/>
      <c r="F50" s="210"/>
      <c r="G50" s="211"/>
      <c r="I50" s="10"/>
    </row>
    <row r="51" spans="1:15" x14ac:dyDescent="0.4">
      <c r="A51" s="334"/>
      <c r="B51" s="2" t="s">
        <v>18</v>
      </c>
      <c r="C51" s="324"/>
      <c r="D51" s="325"/>
      <c r="E51" s="325"/>
      <c r="F51" s="210"/>
      <c r="G51" s="211"/>
      <c r="I51" s="10"/>
    </row>
    <row r="52" spans="1:15" x14ac:dyDescent="0.4">
      <c r="A52" s="334"/>
      <c r="B52" s="2" t="s">
        <v>19</v>
      </c>
      <c r="C52" s="324"/>
      <c r="D52" s="325"/>
      <c r="E52" s="325"/>
      <c r="F52" s="210"/>
      <c r="G52" s="211"/>
      <c r="I52" s="10"/>
    </row>
    <row r="53" spans="1:15" ht="15.5" thickBot="1" x14ac:dyDescent="0.45">
      <c r="A53" s="335"/>
      <c r="B53" s="32" t="s">
        <v>7</v>
      </c>
      <c r="C53" s="336"/>
      <c r="D53" s="337"/>
      <c r="E53" s="337"/>
      <c r="F53" s="212"/>
      <c r="G53" s="213"/>
      <c r="I53" s="16"/>
    </row>
    <row r="54" spans="1:15" x14ac:dyDescent="0.4">
      <c r="A54" s="9"/>
      <c r="B54" s="6"/>
      <c r="C54" s="6"/>
      <c r="D54" s="6"/>
      <c r="E54" s="4"/>
      <c r="F54" s="4"/>
      <c r="I54" s="16"/>
    </row>
    <row r="55" spans="1:15" x14ac:dyDescent="0.4">
      <c r="A55" s="9"/>
      <c r="B55" s="6"/>
      <c r="C55" s="6"/>
      <c r="D55" s="6"/>
      <c r="E55" s="4"/>
      <c r="F55" s="4"/>
    </row>
    <row r="56" spans="1:15" ht="15.5" thickBot="1" x14ac:dyDescent="0.45">
      <c r="B56" s="6"/>
      <c r="C56" s="6"/>
      <c r="D56" s="6"/>
      <c r="E56" s="4"/>
      <c r="F56" s="4"/>
    </row>
    <row r="57" spans="1:15" x14ac:dyDescent="0.4">
      <c r="A57" s="318" t="s">
        <v>75</v>
      </c>
      <c r="B57" s="319"/>
      <c r="C57" s="319"/>
      <c r="D57" s="319"/>
      <c r="E57" s="320"/>
      <c r="N57" s="3"/>
    </row>
    <row r="58" spans="1:15" x14ac:dyDescent="0.4">
      <c r="A58" s="330" t="s">
        <v>73</v>
      </c>
      <c r="B58" s="331"/>
      <c r="C58" s="331"/>
      <c r="D58" s="331"/>
      <c r="E58" s="332"/>
    </row>
    <row r="59" spans="1:15" x14ac:dyDescent="0.4">
      <c r="A59" s="344" t="s">
        <v>71</v>
      </c>
      <c r="B59" s="331"/>
      <c r="C59" s="347" t="s">
        <v>70</v>
      </c>
      <c r="D59" s="331"/>
      <c r="E59" s="29" t="s">
        <v>67</v>
      </c>
      <c r="N59" s="3"/>
      <c r="O59" s="3"/>
    </row>
    <row r="60" spans="1:15" x14ac:dyDescent="0.4">
      <c r="A60" s="345"/>
      <c r="B60" s="324"/>
      <c r="C60" s="343"/>
      <c r="D60" s="343"/>
      <c r="E60" s="30"/>
      <c r="L60" s="14" t="str">
        <f>IF(OR(B60&lt;&gt;"",B61&lt;&gt;"",B62&lt;&gt;"",B63&lt;&gt;""),"NE","DA")</f>
        <v>DA</v>
      </c>
      <c r="N60" s="3"/>
      <c r="O60" s="3"/>
    </row>
    <row r="61" spans="1:15" x14ac:dyDescent="0.4">
      <c r="A61" s="341"/>
      <c r="B61" s="342"/>
      <c r="C61" s="343"/>
      <c r="D61" s="343"/>
      <c r="E61" s="30"/>
      <c r="L61" s="1" t="str">
        <f>IF(OR(E60="kredit",E61="Kredit",E62="Kredit",E63="Kredit"),"Kredit","vlastita")</f>
        <v>vlastita</v>
      </c>
      <c r="N61" s="8"/>
    </row>
    <row r="62" spans="1:15" x14ac:dyDescent="0.4">
      <c r="A62" s="341"/>
      <c r="B62" s="342"/>
      <c r="C62" s="343"/>
      <c r="D62" s="343"/>
      <c r="E62" s="30"/>
      <c r="L62" s="1" t="str">
        <f>IF(AND(L60="NE",L61="Kredit"),3,IF(AND(L60="NE",L61="Vlastita"),2,"0"))</f>
        <v>0</v>
      </c>
      <c r="N62" s="8"/>
    </row>
    <row r="63" spans="1:15" x14ac:dyDescent="0.4">
      <c r="A63" s="341"/>
      <c r="B63" s="342"/>
      <c r="C63" s="343"/>
      <c r="D63" s="343"/>
      <c r="E63" s="30"/>
      <c r="N63" s="8"/>
    </row>
    <row r="64" spans="1:15" x14ac:dyDescent="0.4">
      <c r="A64" s="340" t="s">
        <v>182</v>
      </c>
      <c r="B64" s="331"/>
      <c r="C64" s="331"/>
      <c r="D64" s="331"/>
      <c r="E64" s="332"/>
    </row>
    <row r="65" spans="1:14" x14ac:dyDescent="0.4">
      <c r="A65" s="344" t="s">
        <v>69</v>
      </c>
      <c r="B65" s="331"/>
      <c r="C65" s="347" t="s">
        <v>68</v>
      </c>
      <c r="D65" s="331"/>
      <c r="E65" s="29" t="s">
        <v>67</v>
      </c>
      <c r="N65" s="3"/>
    </row>
    <row r="66" spans="1:14" x14ac:dyDescent="0.4">
      <c r="A66" s="345"/>
      <c r="B66" s="324"/>
      <c r="C66" s="343"/>
      <c r="D66" s="343"/>
      <c r="E66" s="30"/>
      <c r="N66" s="3"/>
    </row>
    <row r="67" spans="1:14" x14ac:dyDescent="0.4">
      <c r="A67" s="345"/>
      <c r="B67" s="324"/>
      <c r="C67" s="343"/>
      <c r="D67" s="343"/>
      <c r="E67" s="30"/>
    </row>
    <row r="68" spans="1:14" x14ac:dyDescent="0.4">
      <c r="A68" s="345"/>
      <c r="B68" s="324"/>
      <c r="C68" s="343"/>
      <c r="D68" s="343"/>
      <c r="E68" s="30"/>
      <c r="N68" s="3"/>
    </row>
    <row r="69" spans="1:14" x14ac:dyDescent="0.4">
      <c r="A69" s="340" t="s">
        <v>66</v>
      </c>
      <c r="B69" s="331"/>
      <c r="C69" s="331"/>
      <c r="D69" s="331"/>
      <c r="E69" s="332"/>
      <c r="N69" s="3"/>
    </row>
    <row r="70" spans="1:14" x14ac:dyDescent="0.4">
      <c r="A70" s="344" t="s">
        <v>64</v>
      </c>
      <c r="B70" s="331"/>
      <c r="C70" s="331"/>
      <c r="D70" s="331"/>
      <c r="E70" s="29" t="s">
        <v>65</v>
      </c>
    </row>
    <row r="71" spans="1:14" x14ac:dyDescent="0.4">
      <c r="A71" s="345"/>
      <c r="B71" s="324"/>
      <c r="C71" s="324"/>
      <c r="D71" s="324"/>
      <c r="E71" s="30"/>
    </row>
    <row r="72" spans="1:14" x14ac:dyDescent="0.4">
      <c r="A72" s="345"/>
      <c r="B72" s="324"/>
      <c r="C72" s="324"/>
      <c r="D72" s="324"/>
      <c r="E72" s="30"/>
    </row>
    <row r="73" spans="1:14" x14ac:dyDescent="0.4">
      <c r="A73" s="345"/>
      <c r="B73" s="324"/>
      <c r="C73" s="324"/>
      <c r="D73" s="324"/>
      <c r="E73" s="30"/>
    </row>
    <row r="74" spans="1:14" ht="15.5" thickBot="1" x14ac:dyDescent="0.45">
      <c r="A74" s="345"/>
      <c r="B74" s="324"/>
      <c r="C74" s="324"/>
      <c r="D74" s="324"/>
      <c r="E74" s="31"/>
    </row>
    <row r="75" spans="1:14" ht="15.5" thickBot="1" x14ac:dyDescent="0.45"/>
    <row r="76" spans="1:14" ht="15.5" thickBot="1" x14ac:dyDescent="0.45">
      <c r="A76" s="350" t="s">
        <v>149</v>
      </c>
      <c r="B76" s="351"/>
      <c r="C76" s="351"/>
      <c r="D76" s="351"/>
      <c r="E76" s="348"/>
      <c r="F76" s="349"/>
    </row>
  </sheetData>
  <sheetProtection sheet="1" selectLockedCells="1"/>
  <mergeCells count="82">
    <mergeCell ref="E76:F76"/>
    <mergeCell ref="A71:D71"/>
    <mergeCell ref="A72:D72"/>
    <mergeCell ref="A73:D73"/>
    <mergeCell ref="A74:D74"/>
    <mergeCell ref="A76:D76"/>
    <mergeCell ref="C68:D68"/>
    <mergeCell ref="A69:E69"/>
    <mergeCell ref="A70:D70"/>
    <mergeCell ref="A65:B65"/>
    <mergeCell ref="A66:B66"/>
    <mergeCell ref="A67:B67"/>
    <mergeCell ref="A68:B68"/>
    <mergeCell ref="C65:D65"/>
    <mergeCell ref="C66:D66"/>
    <mergeCell ref="C67:D67"/>
    <mergeCell ref="C62:D62"/>
    <mergeCell ref="C63:D63"/>
    <mergeCell ref="A62:B62"/>
    <mergeCell ref="C59:D59"/>
    <mergeCell ref="C60:D60"/>
    <mergeCell ref="A61:B61"/>
    <mergeCell ref="B7:E7"/>
    <mergeCell ref="B14:E14"/>
    <mergeCell ref="B26:D26"/>
    <mergeCell ref="B27:D27"/>
    <mergeCell ref="A57:E57"/>
    <mergeCell ref="A58:E58"/>
    <mergeCell ref="A28:A32"/>
    <mergeCell ref="A33:A38"/>
    <mergeCell ref="B33:D33"/>
    <mergeCell ref="B12:E12"/>
    <mergeCell ref="C45:E45"/>
    <mergeCell ref="B25:D25"/>
    <mergeCell ref="B23:D23"/>
    <mergeCell ref="B24:D24"/>
    <mergeCell ref="A64:E64"/>
    <mergeCell ref="A63:B63"/>
    <mergeCell ref="C61:D61"/>
    <mergeCell ref="A59:B59"/>
    <mergeCell ref="A60:B60"/>
    <mergeCell ref="C51:E51"/>
    <mergeCell ref="B9:E9"/>
    <mergeCell ref="A41:A53"/>
    <mergeCell ref="A23:A27"/>
    <mergeCell ref="C53:E53"/>
    <mergeCell ref="B37:D37"/>
    <mergeCell ref="B34:D34"/>
    <mergeCell ref="B38:D38"/>
    <mergeCell ref="B35:D35"/>
    <mergeCell ref="B36:D36"/>
    <mergeCell ref="C41:E41"/>
    <mergeCell ref="A1:G1"/>
    <mergeCell ref="A3:G3"/>
    <mergeCell ref="A4:A9"/>
    <mergeCell ref="A10:A15"/>
    <mergeCell ref="B6:E6"/>
    <mergeCell ref="B13:E13"/>
    <mergeCell ref="A2:G2"/>
    <mergeCell ref="B4:E4"/>
    <mergeCell ref="B5:E5"/>
    <mergeCell ref="B8:E8"/>
    <mergeCell ref="B29:D29"/>
    <mergeCell ref="B28:D28"/>
    <mergeCell ref="B30:D30"/>
    <mergeCell ref="B31:D31"/>
    <mergeCell ref="C49:E49"/>
    <mergeCell ref="C46:E46"/>
    <mergeCell ref="C48:E48"/>
    <mergeCell ref="C42:E42"/>
    <mergeCell ref="C43:E43"/>
    <mergeCell ref="C44:E44"/>
    <mergeCell ref="A40:G40"/>
    <mergeCell ref="A16:A22"/>
    <mergeCell ref="I7:K15"/>
    <mergeCell ref="C50:E50"/>
    <mergeCell ref="C47:E47"/>
    <mergeCell ref="C52:E52"/>
    <mergeCell ref="B10:E10"/>
    <mergeCell ref="B11:E11"/>
    <mergeCell ref="B15:E15"/>
    <mergeCell ref="B32:D32"/>
  </mergeCells>
  <phoneticPr fontId="27" type="noConversion"/>
  <dataValidations count="36">
    <dataValidation type="list" allowBlank="1" showInputMessage="1" showErrorMessage="1" promptTitle="IZVOR FINANCIRANJA" prompt="Iz padajućeg izbornika odabire se izvor financiranja." sqref="E66:E68">
      <formula1>FINANC</formula1>
    </dataValidation>
    <dataValidation type="list" allowBlank="1" showInputMessage="1" showErrorMessage="1" promptTitle="STRUČNA SPREMA" prompt="Iz padajućeg izbornika odabire se stručna sprema planiranih novozaposlenih djelatnika." sqref="A71:D74">
      <formula1>SPREMA</formula1>
    </dataValidation>
    <dataValidation type="list" allowBlank="1" showInputMessage="1" showErrorMessage="1" promptTitle="SUSTAV PROIZVODNJE" prompt="Iz padajućeg izbornika odabire se sustav planirane biljne proizvodnje." sqref="G34:G38">
      <formula1>UNAPRIJEĐENJE</formula1>
    </dataValidation>
    <dataValidation allowBlank="1" showInputMessage="1" showErrorMessage="1" promptTitle="KULTURA" prompt="Upisuje se planirana ratarska kultura." sqref="B5:E9"/>
    <dataValidation allowBlank="1" showInputMessage="1" showErrorMessage="1" promptTitle="POVRŠINA" prompt="Upisuje se numerički izražena površina u ha planirane ratarske kulture." sqref="F5:F9"/>
    <dataValidation type="list" allowBlank="1" showInputMessage="1" showErrorMessage="1" promptTitle="SUSTAV PROIZVODNJE" prompt="Iz padajućeg izbornika odabire se sustav proizvodnje planirane ratarske kulture." sqref="G5:G9">
      <formula1>UNAPRIJEĐENJE</formula1>
    </dataValidation>
    <dataValidation allowBlank="1" showInputMessage="1" showErrorMessage="1" promptTitle="KULTURA" prompt="Upisuje se planirana povrtlarska kultura." sqref="B11:E15"/>
    <dataValidation allowBlank="1" showInputMessage="1" showErrorMessage="1" promptTitle="POVRŠINA" prompt="Upisuje se numerički izražena površina u ha planirane povrtlarske kulture." sqref="F11:F15"/>
    <dataValidation type="list" allowBlank="1" showInputMessage="1" showErrorMessage="1" promptTitle="SUSTAV PROIZVODNJE" prompt="Iz padajućeg izbornika odabire se sustav proizvodnje planirane povrtlarske kulture." sqref="G11:G15">
      <formula1>UNAPRIJEĐENJE</formula1>
    </dataValidation>
    <dataValidation allowBlank="1" showInputMessage="1" showErrorMessage="1" promptTitle="KULTURA" prompt="Upisuje se planirana voćarska kultura." sqref="B17:B22"/>
    <dataValidation allowBlank="1" showInputMessage="1" showErrorMessage="1" promptTitle="POVRŠINA" prompt="Upisuje se numerički izražena površina u ha planirane voćarske kulture." sqref="C17:C22"/>
    <dataValidation allowBlank="1" showInputMessage="1" showErrorMessage="1" promptTitle="SORTA" prompt="Upisuje se sorta planirane voćarske kulture." sqref="D17:D22"/>
    <dataValidation allowBlank="1" showInputMessage="1" showErrorMessage="1" promptTitle="BROJ STABALA" prompt="Upisuje se broj planiranih stabala voćarske kulture." sqref="E17:E22"/>
    <dataValidation allowBlank="1" showInputMessage="1" showErrorMessage="1" promptTitle="UZGOJ" prompt="Upisuje se oblik uzgoja planirane voćarske kulture." sqref="F17:F22"/>
    <dataValidation type="list" allowBlank="1" showInputMessage="1" showErrorMessage="1" promptTitle="SUSTAV PROIZVODNJE" prompt="Iz padajućeg izbornika odabire se sustav proizvodnje planirane voćarske kulture." sqref="G17:G22">
      <formula1>UNAPRIJEĐENJE</formula1>
    </dataValidation>
    <dataValidation allowBlank="1" showInputMessage="1" showErrorMessage="1" promptTitle="SORTA" prompt="Upisuje se sorta planirane vinove loze." sqref="B24:D27"/>
    <dataValidation allowBlank="1" showInputMessage="1" showErrorMessage="1" promptTitle="POVRŠINA" prompt="Upisuje se numerički izražena površina u ha planirane sorte vinove loze." sqref="E24:E27"/>
    <dataValidation allowBlank="1" showInputMessage="1" showErrorMessage="1" promptTitle="BROJ CJEPOVA" prompt="Upisuje se planirani broj cjepova sorte vinove loze." sqref="F24:F27"/>
    <dataValidation type="list" allowBlank="1" showInputMessage="1" showErrorMessage="1" promptTitle="SUSTAV PROIZVODNJE" prompt="Iz padajućeg izbornika odabire se sustav proizvodnje planirane sorte vinove loze." sqref="G24:G27">
      <formula1>UNAPRIJEĐENJE</formula1>
    </dataValidation>
    <dataValidation allowBlank="1" showInputMessage="1" showErrorMessage="1" promptTitle="SORTA" prompt="Upisuje se planirana sorta maslina." sqref="B29:D32"/>
    <dataValidation allowBlank="1" showInputMessage="1" showErrorMessage="1" promptTitle="POVRŠINA" prompt="Upisuje se numerički izražena površina u ha planirane sorte maslina." sqref="E29:E32"/>
    <dataValidation allowBlank="1" showInputMessage="1" showErrorMessage="1" promptTitle="BROJ STABALA" prompt="Upisuje se broj planiranih stabala maslina." sqref="F29:F32"/>
    <dataValidation type="list" allowBlank="1" showInputMessage="1" showErrorMessage="1" promptTitle="SUSTAV PROIZVODNJE" prompt="Iz padajućeg izbornika odabire se sustav proizvodnje planirane sorte masline." sqref="G29:G32">
      <formula1>UNAPRIJEĐENJE</formula1>
    </dataValidation>
    <dataValidation allowBlank="1" showInputMessage="1" showErrorMessage="1" promptTitle="KULTURA" prompt="Upisuje se kultura planirane biljne proizvodnje (aromatično i ljekovito bilje koje nije u ratarskoj proizvodnji)." sqref="B34:D38"/>
    <dataValidation allowBlank="1" showInputMessage="1" showErrorMessage="1" promptTitle="POVRŠINA" prompt="Upisuje se numerički izražena površina u ha planirane biljne proizvodnje." sqref="E34:E38"/>
    <dataValidation allowBlank="1" showInputMessage="1" showErrorMessage="1" promptTitle="KOLIČINA" prompt="Upisuje se količina planirane biljne proizvodnje numerički izražena u ha ili t." sqref="F34:F38"/>
    <dataValidation allowBlank="1" showInputMessage="1" showErrorMessage="1" promptTitle="PASMINA" prompt="Upisuje se planirana pasmina stoke/peradi/kopitara." sqref="C42:E53"/>
    <dataValidation allowBlank="1" showInputMessage="1" showErrorMessage="1" promptTitle="BROJ GRLA/GLAVA" prompt="Upisuje se broj grla/glava planirane pasmine stoke/kopitara/komada peradi." sqref="F42:F53"/>
    <dataValidation allowBlank="1" showInputMessage="1" showErrorMessage="1" promptTitle="PRIRAST" prompt="Upisuje se numerički izražen očekivan prirast u kg/l/kom." sqref="G42:G53"/>
    <dataValidation allowBlank="1" showInputMessage="1" showErrorMessage="1" promptTitle="VRSTA" prompt="Upisuje se potrebna mehanizacija." sqref="A60:B63"/>
    <dataValidation allowBlank="1" showInputMessage="1" showErrorMessage="1" promptTitle="CIJENA" prompt="Upisuje se numerički izražena cijena u kunama potrebne mehanizacije." sqref="C60:D63"/>
    <dataValidation type="list" allowBlank="1" showInputMessage="1" showErrorMessage="1" promptTitle="IZVOR FINANCIRANJA" prompt="Iz padajućeg izbornika odabire se izvor financiranja." sqref="E60:E63">
      <formula1>FINANC</formula1>
    </dataValidation>
    <dataValidation allowBlank="1" showInputMessage="1" showErrorMessage="1" promptTitle="VRSTA INVESTICIJE" prompt="Upisuje se vrsta planirane investicije." sqref="A66:B68"/>
    <dataValidation allowBlank="1" showInputMessage="1" showErrorMessage="1" promptTitle="IZNOS" prompt="Upisuje se numerički izražen iznos planirane investicije." sqref="C66:D68"/>
    <dataValidation allowBlank="1" showInputMessage="1" showErrorMessage="1" promptTitle="NOVI ZAPOSLENICI" prompt="Upisuje se numerički izražen broj planiranih novozaposlenih djelatnika." sqref="E71:E74"/>
    <dataValidation type="list" allowBlank="1" showInputMessage="1" showErrorMessage="1" promptTitle="UDALJENOST" prompt="Iz padajućeg izbornika odabire se udaljenost zemljišta koji je predmet javnog poziva od zemljišta i/ili objekata podnositelja zahtjeva." sqref="E76:F76">
      <formula1>UDALJENOST</formula1>
    </dataValidation>
  </dataValidations>
  <pageMargins left="0.70866141732283472" right="0.70866141732283472" top="1.1417322834645669" bottom="0.74803149606299213" header="0.31496062992125984" footer="0.31496062992125984"/>
  <pageSetup paperSize="9" scale="60" orientation="portrait" r:id="rId1"/>
  <headerFooter>
    <oddHeader>&amp;L&amp;G&amp;C
OBRAZAC GOSPODARSKOG PROGRAMA ZA
 KORIŠTENJE POLJOPRIVREDNOG ZEMLJIŠTA U
 VLASNIŠTVU DRŽAVE&amp;R
Stranica &amp;P od &amp;N
&amp;A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6" tint="-0.499984740745262"/>
  </sheetPr>
  <dimension ref="A1:G36"/>
  <sheetViews>
    <sheetView showGridLines="0" showRowColHeaders="0" view="pageBreakPreview" zoomScaleNormal="100" zoomScaleSheetLayoutView="100" workbookViewId="0">
      <selection activeCell="B31" sqref="B31"/>
    </sheetView>
  </sheetViews>
  <sheetFormatPr defaultColWidth="9" defaultRowHeight="15" x14ac:dyDescent="0.4"/>
  <cols>
    <col min="1" max="1" width="38.83203125" style="1" customWidth="1"/>
    <col min="2" max="2" width="21.58203125" style="1" customWidth="1"/>
    <col min="3" max="7" width="22.75" style="1" customWidth="1"/>
    <col min="8" max="16384" width="9" style="1"/>
  </cols>
  <sheetData>
    <row r="1" spans="1:7" ht="18.5" x14ac:dyDescent="0.45">
      <c r="F1" s="25" t="s">
        <v>195</v>
      </c>
      <c r="G1" s="26" t="s">
        <v>192</v>
      </c>
    </row>
    <row r="2" spans="1:7" ht="15.5" thickBot="1" x14ac:dyDescent="0.45"/>
    <row r="3" spans="1:7" x14ac:dyDescent="0.4">
      <c r="A3" s="364" t="s">
        <v>91</v>
      </c>
      <c r="B3" s="319"/>
      <c r="C3" s="319"/>
      <c r="D3" s="320"/>
    </row>
    <row r="4" spans="1:7" x14ac:dyDescent="0.4">
      <c r="A4" s="365" t="s">
        <v>150</v>
      </c>
      <c r="B4" s="366"/>
      <c r="C4" s="331"/>
      <c r="D4" s="332"/>
    </row>
    <row r="5" spans="1:7" x14ac:dyDescent="0.4">
      <c r="A5" s="365" t="s">
        <v>92</v>
      </c>
      <c r="B5" s="366"/>
      <c r="C5" s="331"/>
      <c r="D5" s="332"/>
      <c r="E5" s="143"/>
      <c r="F5" s="143"/>
      <c r="G5" s="14"/>
    </row>
    <row r="6" spans="1:7" x14ac:dyDescent="0.4">
      <c r="A6" s="40" t="s">
        <v>94</v>
      </c>
      <c r="B6" s="352"/>
      <c r="C6" s="353"/>
      <c r="D6" s="354"/>
      <c r="E6" s="143"/>
      <c r="F6" s="143"/>
      <c r="G6" s="143"/>
    </row>
    <row r="7" spans="1:7" x14ac:dyDescent="0.4">
      <c r="A7" s="40" t="s">
        <v>95</v>
      </c>
      <c r="B7" s="352"/>
      <c r="C7" s="353"/>
      <c r="D7" s="354"/>
      <c r="E7" s="143"/>
      <c r="F7" s="143" t="s">
        <v>384</v>
      </c>
      <c r="G7" s="149">
        <f>B19</f>
        <v>0</v>
      </c>
    </row>
    <row r="8" spans="1:7" x14ac:dyDescent="0.4">
      <c r="A8" s="40" t="s">
        <v>96</v>
      </c>
      <c r="B8" s="352"/>
      <c r="C8" s="353"/>
      <c r="D8" s="354"/>
      <c r="E8" s="143"/>
      <c r="F8" s="143" t="s">
        <v>385</v>
      </c>
      <c r="G8" s="148">
        <f>B17+B15</f>
        <v>0</v>
      </c>
    </row>
    <row r="9" spans="1:7" x14ac:dyDescent="0.4">
      <c r="A9" s="40" t="s">
        <v>93</v>
      </c>
      <c r="B9" s="355">
        <f>SUM(B6:B8)</f>
        <v>0</v>
      </c>
      <c r="C9" s="356"/>
      <c r="D9" s="357"/>
      <c r="E9" s="143"/>
      <c r="F9" s="143" t="s">
        <v>386</v>
      </c>
      <c r="G9" s="148">
        <f>G8+B13</f>
        <v>0</v>
      </c>
    </row>
    <row r="10" spans="1:7" x14ac:dyDescent="0.4">
      <c r="A10" s="40" t="s">
        <v>98</v>
      </c>
      <c r="B10" s="361">
        <f>SUM(B11:D13)</f>
        <v>0</v>
      </c>
      <c r="C10" s="362"/>
      <c r="D10" s="363"/>
      <c r="E10" s="143"/>
      <c r="F10" s="143"/>
      <c r="G10" s="143"/>
    </row>
    <row r="11" spans="1:7" x14ac:dyDescent="0.4">
      <c r="A11" s="40" t="s">
        <v>99</v>
      </c>
      <c r="B11" s="352"/>
      <c r="C11" s="353"/>
      <c r="D11" s="354"/>
      <c r="E11" s="143"/>
      <c r="F11" s="143"/>
      <c r="G11" s="143"/>
    </row>
    <row r="12" spans="1:7" x14ac:dyDescent="0.4">
      <c r="A12" s="40" t="s">
        <v>100</v>
      </c>
      <c r="B12" s="352"/>
      <c r="C12" s="353"/>
      <c r="D12" s="354"/>
      <c r="E12" s="143"/>
      <c r="F12" s="143"/>
      <c r="G12" s="143"/>
    </row>
    <row r="13" spans="1:7" x14ac:dyDescent="0.4">
      <c r="A13" s="40" t="s">
        <v>101</v>
      </c>
      <c r="B13" s="352"/>
      <c r="C13" s="353"/>
      <c r="D13" s="354"/>
    </row>
    <row r="14" spans="1:7" x14ac:dyDescent="0.4">
      <c r="A14" s="40" t="s">
        <v>102</v>
      </c>
      <c r="B14" s="361">
        <f>B15</f>
        <v>0</v>
      </c>
      <c r="C14" s="362"/>
      <c r="D14" s="363"/>
    </row>
    <row r="15" spans="1:7" x14ac:dyDescent="0.4">
      <c r="A15" s="40" t="s">
        <v>103</v>
      </c>
      <c r="B15" s="352"/>
      <c r="C15" s="353"/>
      <c r="D15" s="354"/>
    </row>
    <row r="16" spans="1:7" x14ac:dyDescent="0.4">
      <c r="A16" s="40" t="s">
        <v>97</v>
      </c>
      <c r="B16" s="355">
        <f>B14+B10</f>
        <v>0</v>
      </c>
      <c r="C16" s="356"/>
      <c r="D16" s="357"/>
    </row>
    <row r="17" spans="1:7" x14ac:dyDescent="0.4">
      <c r="A17" s="40" t="s">
        <v>104</v>
      </c>
      <c r="B17" s="358">
        <f>B9-B16</f>
        <v>0</v>
      </c>
      <c r="C17" s="359"/>
      <c r="D17" s="360"/>
    </row>
    <row r="18" spans="1:7" x14ac:dyDescent="0.4">
      <c r="A18" s="40" t="s">
        <v>105</v>
      </c>
      <c r="B18" s="352"/>
      <c r="C18" s="353"/>
      <c r="D18" s="354"/>
    </row>
    <row r="19" spans="1:7" ht="15.5" thickBot="1" x14ac:dyDescent="0.45">
      <c r="A19" s="41" t="s">
        <v>106</v>
      </c>
      <c r="B19" s="370">
        <f>B17-B18</f>
        <v>0</v>
      </c>
      <c r="C19" s="371"/>
      <c r="D19" s="372"/>
    </row>
    <row r="20" spans="1:7" ht="15.5" thickBot="1" x14ac:dyDescent="0.45"/>
    <row r="21" spans="1:7" x14ac:dyDescent="0.4">
      <c r="A21" s="367" t="s">
        <v>107</v>
      </c>
      <c r="B21" s="368"/>
      <c r="C21" s="368"/>
      <c r="D21" s="368"/>
      <c r="E21" s="368"/>
      <c r="F21" s="368"/>
      <c r="G21" s="369"/>
    </row>
    <row r="22" spans="1:7" x14ac:dyDescent="0.4">
      <c r="A22" s="40" t="s">
        <v>108</v>
      </c>
      <c r="B22" s="11" t="s">
        <v>151</v>
      </c>
      <c r="C22" s="11" t="s">
        <v>152</v>
      </c>
      <c r="D22" s="11" t="s">
        <v>153</v>
      </c>
      <c r="E22" s="11" t="s">
        <v>154</v>
      </c>
      <c r="F22" s="11" t="s">
        <v>179</v>
      </c>
      <c r="G22" s="42" t="s">
        <v>180</v>
      </c>
    </row>
    <row r="23" spans="1:7" x14ac:dyDescent="0.4">
      <c r="A23" s="40" t="s">
        <v>93</v>
      </c>
      <c r="B23" s="202"/>
      <c r="C23" s="202"/>
      <c r="D23" s="202"/>
      <c r="E23" s="202"/>
      <c r="F23" s="202"/>
      <c r="G23" s="202"/>
    </row>
    <row r="24" spans="1:7" x14ac:dyDescent="0.4">
      <c r="A24" s="40" t="s">
        <v>110</v>
      </c>
      <c r="B24" s="214">
        <f t="shared" ref="B24:G24" si="0">SUM(B25:B27)</f>
        <v>0</v>
      </c>
      <c r="C24" s="214">
        <f t="shared" si="0"/>
        <v>0</v>
      </c>
      <c r="D24" s="214">
        <f t="shared" si="0"/>
        <v>0</v>
      </c>
      <c r="E24" s="214">
        <f t="shared" si="0"/>
        <v>0</v>
      </c>
      <c r="F24" s="214">
        <f t="shared" si="0"/>
        <v>0</v>
      </c>
      <c r="G24" s="214">
        <f t="shared" si="0"/>
        <v>0</v>
      </c>
    </row>
    <row r="25" spans="1:7" x14ac:dyDescent="0.4">
      <c r="A25" s="40" t="s">
        <v>111</v>
      </c>
      <c r="B25" s="202"/>
      <c r="C25" s="202"/>
      <c r="D25" s="202"/>
      <c r="E25" s="202"/>
      <c r="F25" s="202"/>
      <c r="G25" s="203"/>
    </row>
    <row r="26" spans="1:7" x14ac:dyDescent="0.4">
      <c r="A26" s="40" t="s">
        <v>112</v>
      </c>
      <c r="B26" s="202"/>
      <c r="C26" s="202"/>
      <c r="D26" s="202"/>
      <c r="E26" s="202"/>
      <c r="F26" s="202"/>
      <c r="G26" s="203"/>
    </row>
    <row r="27" spans="1:7" x14ac:dyDescent="0.4">
      <c r="A27" s="40" t="s">
        <v>113</v>
      </c>
      <c r="B27" s="202"/>
      <c r="C27" s="202"/>
      <c r="D27" s="202"/>
      <c r="E27" s="202"/>
      <c r="F27" s="202"/>
      <c r="G27" s="203"/>
    </row>
    <row r="28" spans="1:7" x14ac:dyDescent="0.4">
      <c r="A28" s="40" t="s">
        <v>109</v>
      </c>
      <c r="B28" s="204">
        <f t="shared" ref="B28:G28" si="1">SUM(B24,B23)</f>
        <v>0</v>
      </c>
      <c r="C28" s="204">
        <f t="shared" si="1"/>
        <v>0</v>
      </c>
      <c r="D28" s="204">
        <f t="shared" si="1"/>
        <v>0</v>
      </c>
      <c r="E28" s="204">
        <f t="shared" si="1"/>
        <v>0</v>
      </c>
      <c r="F28" s="204">
        <f t="shared" si="1"/>
        <v>0</v>
      </c>
      <c r="G28" s="204">
        <f t="shared" si="1"/>
        <v>0</v>
      </c>
    </row>
    <row r="29" spans="1:7" x14ac:dyDescent="0.4">
      <c r="A29" s="40" t="s">
        <v>115</v>
      </c>
      <c r="B29" s="202"/>
      <c r="C29" s="202"/>
      <c r="D29" s="202"/>
      <c r="E29" s="202"/>
      <c r="F29" s="202"/>
      <c r="G29" s="203"/>
    </row>
    <row r="30" spans="1:7" x14ac:dyDescent="0.4">
      <c r="A30" s="40" t="s">
        <v>116</v>
      </c>
      <c r="B30" s="202"/>
      <c r="C30" s="202"/>
      <c r="D30" s="202"/>
      <c r="E30" s="202"/>
      <c r="F30" s="202"/>
      <c r="G30" s="203"/>
    </row>
    <row r="31" spans="1:7" x14ac:dyDescent="0.4">
      <c r="A31" s="40" t="s">
        <v>117</v>
      </c>
      <c r="B31" s="279"/>
      <c r="C31" s="202"/>
      <c r="D31" s="202"/>
      <c r="E31" s="202"/>
      <c r="F31" s="202"/>
      <c r="G31" s="203"/>
    </row>
    <row r="32" spans="1:7" x14ac:dyDescent="0.4">
      <c r="A32" s="40" t="s">
        <v>118</v>
      </c>
      <c r="B32" s="202"/>
      <c r="C32" s="202"/>
      <c r="D32" s="202"/>
      <c r="E32" s="202"/>
      <c r="F32" s="202"/>
      <c r="G32" s="203"/>
    </row>
    <row r="33" spans="1:7" x14ac:dyDescent="0.4">
      <c r="A33" s="40" t="s">
        <v>119</v>
      </c>
      <c r="B33" s="202"/>
      <c r="C33" s="202"/>
      <c r="D33" s="202"/>
      <c r="E33" s="202"/>
      <c r="F33" s="202"/>
      <c r="G33" s="203"/>
    </row>
    <row r="34" spans="1:7" x14ac:dyDescent="0.4">
      <c r="A34" s="40" t="s">
        <v>120</v>
      </c>
      <c r="B34" s="202"/>
      <c r="C34" s="202"/>
      <c r="D34" s="202"/>
      <c r="E34" s="202"/>
      <c r="F34" s="202"/>
      <c r="G34" s="203"/>
    </row>
    <row r="35" spans="1:7" x14ac:dyDescent="0.4">
      <c r="A35" s="40" t="s">
        <v>114</v>
      </c>
      <c r="B35" s="204">
        <f t="shared" ref="B35:G35" si="2">SUM(B29:B34)</f>
        <v>0</v>
      </c>
      <c r="C35" s="204">
        <f t="shared" si="2"/>
        <v>0</v>
      </c>
      <c r="D35" s="204">
        <f t="shared" si="2"/>
        <v>0</v>
      </c>
      <c r="E35" s="204">
        <f t="shared" si="2"/>
        <v>0</v>
      </c>
      <c r="F35" s="204">
        <f t="shared" si="2"/>
        <v>0</v>
      </c>
      <c r="G35" s="205">
        <f t="shared" si="2"/>
        <v>0</v>
      </c>
    </row>
    <row r="36" spans="1:7" ht="15.5" thickBot="1" x14ac:dyDescent="0.45">
      <c r="A36" s="41" t="s">
        <v>121</v>
      </c>
      <c r="B36" s="206">
        <f t="shared" ref="B36:G36" si="3">B28-B35</f>
        <v>0</v>
      </c>
      <c r="C36" s="206">
        <f t="shared" si="3"/>
        <v>0</v>
      </c>
      <c r="D36" s="206">
        <f t="shared" si="3"/>
        <v>0</v>
      </c>
      <c r="E36" s="206">
        <f t="shared" si="3"/>
        <v>0</v>
      </c>
      <c r="F36" s="206">
        <f t="shared" si="3"/>
        <v>0</v>
      </c>
      <c r="G36" s="207">
        <f t="shared" si="3"/>
        <v>0</v>
      </c>
    </row>
  </sheetData>
  <sheetProtection sheet="1" objects="1" scenarios="1" selectLockedCells="1"/>
  <mergeCells count="18">
    <mergeCell ref="A21:G21"/>
    <mergeCell ref="B19:D19"/>
    <mergeCell ref="A3:D3"/>
    <mergeCell ref="A4:D4"/>
    <mergeCell ref="A5:D5"/>
    <mergeCell ref="B6:D6"/>
    <mergeCell ref="B7:D7"/>
    <mergeCell ref="B12:D12"/>
    <mergeCell ref="B8:D8"/>
    <mergeCell ref="B9:D9"/>
    <mergeCell ref="B16:D16"/>
    <mergeCell ref="B17:D17"/>
    <mergeCell ref="B18:D18"/>
    <mergeCell ref="B10:D10"/>
    <mergeCell ref="B11:D11"/>
    <mergeCell ref="B13:D13"/>
    <mergeCell ref="B14:D14"/>
    <mergeCell ref="B15:D15"/>
  </mergeCells>
  <phoneticPr fontId="27" type="noConversion"/>
  <dataValidations count="2">
    <dataValidation allowBlank="1" showInputMessage="1" showErrorMessage="1" promptTitle="POKAZATELJI" prompt="Upisuju se numerički izraženi podaci sukladno podacima iz računa dobiti i gubitka ili rekapitulacije KPI (knjiga primitaka i izdataka) za prethodno razdoblje (prošla poslovna godina)." sqref="B6:D8 B11:D13 B15:D15 B18:D18"/>
    <dataValidation allowBlank="1" showInputMessage="1" showErrorMessage="1" promptTitle="PLAN" prompt="Upisuje se planirano poslovanje za tekuću godinu i narednih pet godina." sqref="B25:B27 B29:B34 C29:G34 C25:G27"/>
  </dataValidations>
  <pageMargins left="0.70866141732283472" right="0.70866141732283472" top="1.1417322834645669" bottom="0.74803149606299213" header="0.31496062992125984" footer="0.31496062992125984"/>
  <pageSetup paperSize="9" scale="70" orientation="landscape" r:id="rId1"/>
  <headerFooter>
    <oddHeader>&amp;L&amp;G&amp;C
OBRAZAC GOSPODARSKOG PROGRAMA ZA
 KORIŠTENJE POLJOPRIVREDNOG ZEMLJIŠTA U
 VLASNIŠTVU DRŽAVE
&amp;R
Stranica &amp;P od &amp;N
&amp;A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8"/>
  <sheetViews>
    <sheetView view="pageBreakPreview" topLeftCell="A6" zoomScale="115" zoomScaleNormal="100" zoomScaleSheetLayoutView="115" workbookViewId="0">
      <selection activeCell="C11" sqref="C11"/>
    </sheetView>
  </sheetViews>
  <sheetFormatPr defaultRowHeight="15" x14ac:dyDescent="0.4"/>
  <cols>
    <col min="1" max="1" width="5.25" customWidth="1"/>
    <col min="2" max="2" width="36.33203125" customWidth="1"/>
    <col min="3" max="3" width="38.5" customWidth="1"/>
    <col min="4" max="4" width="33.75" customWidth="1"/>
    <col min="8" max="8" width="9.5" bestFit="1" customWidth="1"/>
  </cols>
  <sheetData>
    <row r="1" spans="1:253" ht="16" x14ac:dyDescent="0.4">
      <c r="A1" s="375" t="s">
        <v>390</v>
      </c>
      <c r="B1" s="376"/>
      <c r="C1" s="377" t="str">
        <f>IF(PONUDA!C4="","",PONUDA!C4)</f>
        <v/>
      </c>
      <c r="D1" s="378"/>
      <c r="IR1">
        <f>SUM(cjelina_pocetna)</f>
        <v>0</v>
      </c>
    </row>
    <row r="2" spans="1:253" ht="16" x14ac:dyDescent="0.4">
      <c r="A2" s="375" t="s">
        <v>391</v>
      </c>
      <c r="B2" s="376"/>
      <c r="C2" s="377" t="str">
        <f>IF(PONUDA!C5="","",PONUDA!C5)</f>
        <v/>
      </c>
      <c r="D2" s="378"/>
    </row>
    <row r="3" spans="1:253" ht="16" x14ac:dyDescent="0.4">
      <c r="A3" s="375" t="s">
        <v>392</v>
      </c>
      <c r="B3" s="376"/>
      <c r="C3" s="373" t="str">
        <f>IF(IDENTIFIKACIJA!B40="","",IDENTIFIKACIJA!B40)</f>
        <v/>
      </c>
      <c r="D3" s="374"/>
      <c r="IQ3">
        <f>IR1/20</f>
        <v>0</v>
      </c>
      <c r="IR3">
        <f>ponudena-IR1</f>
        <v>0</v>
      </c>
      <c r="IS3" t="e">
        <f>IF(IR3/IQ3=0,1,IR3/IQ3)</f>
        <v>#DIV/0!</v>
      </c>
    </row>
    <row r="4" spans="1:253" x14ac:dyDescent="0.4">
      <c r="A4" s="83"/>
      <c r="B4" s="83"/>
      <c r="C4" s="83"/>
      <c r="D4" s="84"/>
    </row>
    <row r="5" spans="1:253" x14ac:dyDescent="0.4">
      <c r="A5" s="385" t="s">
        <v>130</v>
      </c>
      <c r="B5" s="386"/>
      <c r="C5" s="386"/>
      <c r="D5" s="387"/>
    </row>
    <row r="6" spans="1:253" x14ac:dyDescent="0.4">
      <c r="A6" s="387"/>
      <c r="B6" s="387"/>
      <c r="C6" s="387"/>
      <c r="D6" s="387"/>
    </row>
    <row r="7" spans="1:253" ht="18.5" x14ac:dyDescent="0.4">
      <c r="A7" s="390" t="s">
        <v>403</v>
      </c>
      <c r="B7" s="391"/>
      <c r="C7" s="391"/>
      <c r="D7" s="391"/>
    </row>
    <row r="8" spans="1:253" ht="21.75" customHeight="1" x14ac:dyDescent="0.4">
      <c r="A8" s="85" t="s">
        <v>131</v>
      </c>
      <c r="B8" s="86" t="s">
        <v>132</v>
      </c>
      <c r="C8" s="86" t="s">
        <v>300</v>
      </c>
      <c r="D8" s="87" t="s">
        <v>301</v>
      </c>
    </row>
    <row r="9" spans="1:253" ht="48.75" customHeight="1" x14ac:dyDescent="0.4">
      <c r="A9" s="161" t="s">
        <v>125</v>
      </c>
      <c r="B9" s="150" t="s">
        <v>302</v>
      </c>
      <c r="C9" s="153" t="str">
        <f>IF(IDENTIFIKACIJA!B32&lt;&gt;"Stočarstvo","Nije relevantna proizvodnja",IF(ISERROR(SUM(STOKA)/SUM(GOSPODARSKI_PROGRAM!B8:B9,GOSPODARSKI_PROGRAM!B14)),"",(SUM(STOKA)/SUM(GOSPODARSKI_PROGRAM!B8:B9,GOSPODARSKI_PROGRAM!B14))))</f>
        <v>Nije relevantna proizvodnja</v>
      </c>
      <c r="D9" s="89">
        <f>IF(OR(C9="",C9="Nije relevantna proizvodnja"),0,IF(C9&gt;=4,PRILOG!C6,IF(AND(BODOVI!C9&gt;3.01,BODOVI!C9&lt;4),PRILOG!D6,IF(AND(BODOVI!C9&gt;2,BODOVI!C9&lt;=3),PRILOG!E6,IF(AND(BODOVI!C9&lt;=2,BODOVI!C9&gt;0),PRILOG!F6)))))</f>
        <v>0</v>
      </c>
      <c r="F9" s="109"/>
    </row>
    <row r="10" spans="1:253" ht="48.75" customHeight="1" x14ac:dyDescent="0.4">
      <c r="A10" s="162" t="s">
        <v>126</v>
      </c>
      <c r="B10" s="150" t="s">
        <v>127</v>
      </c>
      <c r="C10" s="154" t="str">
        <f>IF(OR(IDENTIFIKACIJA!B32=POPISI!D6,IDENTIFIKACIJA!B32=POPISI!D7,IDENTIFIKACIJA!B32=POPISI!D8,IDENTIFIKACIJA!B32=POPISI!D9),IDENTIFIKACIJA!B32,"Nije relevantna proizvodnja")</f>
        <v>Nije relevantna proizvodnja</v>
      </c>
      <c r="D10" s="89">
        <f>IF(OR(C10="",C10="Nije relevantna proizvodnja"),0,HLOOKUP(C10,PRILOG!C7:G8,2,))</f>
        <v>0</v>
      </c>
    </row>
    <row r="11" spans="1:253" ht="48.75" customHeight="1" x14ac:dyDescent="0.4">
      <c r="A11" s="162" t="s">
        <v>74</v>
      </c>
      <c r="B11" s="151" t="s">
        <v>133</v>
      </c>
      <c r="C11" s="152" t="str">
        <f>IF(IDENTIFIKACIJA!B32&lt;&gt;POPISI!D5,"Nije relevantna proizvodnja",IF(AND(GOSPODARSKI_PROGRAM!IU23="DA",GOSPODARSKI_PROGRAM!IT23&gt;GOSPODARSKI_PROGRAM!IS23),PRILOG!C9,IF(AND(GOSPODARSKI_PROGRAM!IU23="DA",GOSPODARSKI_PROGRAM!IT23=GOSPODARSKI_PROGRAM!IS23),PRILOG!D9,IF(AND(OR(GOSPODARSKI_PROGRAM!IU23="DA",GOSPODARSKI_PROGRAM!IU23="NE"),GOSPODARSKI_PROGRAM!IT23&lt;GOSPODARSKI_PROGRAM!IS23),PRILOG!E9,PRILOG!F9))))</f>
        <v>Nije relevantna proizvodnja</v>
      </c>
      <c r="D11" s="89">
        <f>IF(ISERROR(HLOOKUP(C11,PRILOG!C9:G10,2,FALSE)),0,HLOOKUP(C11,PRILOG!C9:G10,2,FALSE))</f>
        <v>0</v>
      </c>
    </row>
    <row r="12" spans="1:253" ht="48.75" customHeight="1" x14ac:dyDescent="0.4">
      <c r="A12" s="161" t="s">
        <v>134</v>
      </c>
      <c r="B12" s="151" t="s">
        <v>253</v>
      </c>
      <c r="C12" s="152" t="str">
        <f>IF(IDENTIFIKACIJA!B32&lt;&gt;POPISI!D4,"Nije relevantana proizvodnja",IF(GOSPODARSKI_PROGRAM!IR21="DA","Ima objekte za skladištenje/doradu/preradu",IF(PROGRAM_ZAKUP!IS11&gt;0,"Povećanje proizvodnje",IF(PROGRAM_ZAKUP!IS12="DA","Unaprjeđenje tehnologije","Početnici"))))</f>
        <v>Nije relevantana proizvodnja</v>
      </c>
      <c r="D12" s="88">
        <f>IF(ISERROR(HLOOKUP(C12,PRILOG!C11:G12,2,FALSE)),0,HLOOKUP(C12,PRILOG!C11:G12,2,FALSE))</f>
        <v>0</v>
      </c>
    </row>
    <row r="13" spans="1:253" ht="48.75" customHeight="1" x14ac:dyDescent="0.4">
      <c r="A13" s="161" t="s">
        <v>256</v>
      </c>
      <c r="B13" s="151" t="s">
        <v>257</v>
      </c>
      <c r="C13" s="152" t="str">
        <f>IF(IDENTIFIKACIJA!B32&lt;&gt;POPISI!D3,"Nije relevantna proizvodnja",IF(GOSPODARSKI_PROGRAM!IR20="DA","Ima objekte za skladištenje/doradu/preradu",IF(PROGRAM_ZAKUP!IS5&gt;0,"Povećanje proizvodnje","Početnici")))</f>
        <v>Nije relevantna proizvodnja</v>
      </c>
      <c r="D13" s="88">
        <f>IF(ISERROR(HLOOKUP(C13,PRILOG!C13:E14,2,FALSE)),0,HLOOKUP(C13,PRILOG!C13:E14,2,FALSE))</f>
        <v>0</v>
      </c>
    </row>
    <row r="14" spans="1:253" ht="13.5" customHeight="1" x14ac:dyDescent="0.4">
      <c r="A14" s="381"/>
      <c r="B14" s="382"/>
      <c r="C14" s="382"/>
      <c r="D14" s="383"/>
    </row>
    <row r="15" spans="1:253" ht="48.75" customHeight="1" x14ac:dyDescent="0.4">
      <c r="A15" s="162" t="s">
        <v>260</v>
      </c>
      <c r="B15" s="151" t="s">
        <v>135</v>
      </c>
      <c r="C15" s="155">
        <f>SUM(ZAPOSLENI)</f>
        <v>0</v>
      </c>
      <c r="D15" s="89">
        <f>IF(OR(C15="",C15=0),0,IF(ZAPOSL!E9&gt;=1,PRILOG!C19,IF(AND(ZAPOSL!E9&gt;=0.8,ZAPOSL!E9&lt;1),PRILOG!D19,IF(AND(ZAPOSL!E9&gt;=0.7,ZAPOSL!E9&lt;0.8),PRILOG!E19,PRILOG!F19))))</f>
        <v>0</v>
      </c>
    </row>
    <row r="16" spans="1:253" ht="48.75" customHeight="1" x14ac:dyDescent="0.4">
      <c r="A16" s="162" t="s">
        <v>266</v>
      </c>
      <c r="B16" s="151" t="s">
        <v>136</v>
      </c>
      <c r="C16" s="156" t="str">
        <f>IF(SUM(NOPVOZAPOSL)=0,"",SUM(NOPVOZAPOSL))</f>
        <v/>
      </c>
      <c r="D16" s="89">
        <f>IF(C16="",0,IF(C16&gt;=5,PRILOG!C21,IF(AND(C16&lt;5,C16&gt;=4),PRILOG!D21,IF(AND(C16&gt;=2,C16&lt;4),PRILOG!E21,IF(C16&lt;2,PRILOG!F21)))))</f>
        <v>0</v>
      </c>
    </row>
    <row r="17" spans="1:4" ht="48.75" customHeight="1" x14ac:dyDescent="0.4">
      <c r="A17" s="162" t="s">
        <v>268</v>
      </c>
      <c r="B17" s="151" t="s">
        <v>269</v>
      </c>
      <c r="C17" s="152" t="str">
        <f>IF(OR(MEHANIZACIJA!I4&lt;&gt;"",MEHANIZACIJA!I9&lt;&gt;"",MEHANIZACIJA!I5&lt;&gt;"",MEHANIZACIJA!I6&lt;&gt;"",MEHANIZACIJA!I3&lt;&gt;"",MEHANIZACIJA!I8&lt;&gt;""),"Postojeća mehanizacija",IF(AND(PROGRAM_ZAKUP!A60="",PROGRAM_ZAKUP!A61="",PROGRAM_ZAKUP!A62="",PROGRAM_ZAKUP!A63=""),"NEMA MEHANIZACIJE","Kupnja"))</f>
        <v>NEMA MEHANIZACIJE</v>
      </c>
      <c r="D17" s="89">
        <f>IF(OR(C17="",C17="NEMA MEHANIZACIJE"),0,HLOOKUP(C17,PRILOG!C22:G23,2,FALSE))</f>
        <v>0</v>
      </c>
    </row>
    <row r="18" spans="1:4" ht="48.75" customHeight="1" x14ac:dyDescent="0.4">
      <c r="A18" s="162" t="s">
        <v>303</v>
      </c>
      <c r="B18" s="151" t="s">
        <v>305</v>
      </c>
      <c r="C18" s="152" t="str">
        <f>IF(PROGRAM_ZAKUP!E76="","",PROGRAM_ZAKUP!E76)</f>
        <v/>
      </c>
      <c r="D18" s="89">
        <f>IF(C18="",0,IF(C18=POPISI!B16,6,IF(BODOVI!C18=POPISI!B17,PRILOG!E26,IF(C18=POPISI!B18,PRILOG!F29,IF(C18=POPISI!B19,PRILOG!C29,IF(C18=POPISI!B20,PRILOG!E29,IF(C18=POPISI!B21,0)))))))</f>
        <v>0</v>
      </c>
    </row>
    <row r="19" spans="1:4" ht="48.75" customHeight="1" x14ac:dyDescent="0.4">
      <c r="A19" s="162" t="s">
        <v>277</v>
      </c>
      <c r="B19" s="151" t="s">
        <v>278</v>
      </c>
      <c r="C19" s="173" t="s">
        <v>382</v>
      </c>
      <c r="D19" s="89">
        <f>IF(C19="",0,(HLOOKUP(C19,PRILOG!C30:G31,2,FALSE)))</f>
        <v>1</v>
      </c>
    </row>
    <row r="20" spans="1:4" ht="48.75" customHeight="1" x14ac:dyDescent="0.4">
      <c r="A20" s="162" t="s">
        <v>138</v>
      </c>
      <c r="B20" s="151" t="s">
        <v>304</v>
      </c>
      <c r="C20" s="152" t="str">
        <f>IF(GOSPODARSKI_PROGRAM!B66="","",GOSPODARSKI_PROGRAM!B66)</f>
        <v/>
      </c>
      <c r="D20" s="89">
        <f>IF(C20="",0,HLOOKUP(C20,PRILOG!C32:G33,2,FALSE))</f>
        <v>0</v>
      </c>
    </row>
    <row r="21" spans="1:4" ht="48.75" customHeight="1" x14ac:dyDescent="0.4">
      <c r="A21" s="162" t="s">
        <v>139</v>
      </c>
      <c r="B21" s="151" t="s">
        <v>281</v>
      </c>
      <c r="C21" s="152" t="str">
        <f>IF(IDENTIFIKACIJA!B8=1,PRILOG!E34,IF(IDENTIFIKACIJA!B8&gt;1,PRILOG!C34,IF(IDENTIFIKACIJA!B25="DA",PRILOG!F34,"")))</f>
        <v/>
      </c>
      <c r="D21" s="89">
        <f>IF(OR(C21="",C21=0),0,HLOOKUP(C21,PRILOG!C34:G35,2,FALSE))</f>
        <v>0</v>
      </c>
    </row>
    <row r="22" spans="1:4" ht="48.75" customHeight="1" x14ac:dyDescent="0.4">
      <c r="A22" s="162" t="s">
        <v>284</v>
      </c>
      <c r="B22" s="151" t="s">
        <v>140</v>
      </c>
      <c r="C22" s="152">
        <f>IDENTIFIKACIJA!B9</f>
        <v>0</v>
      </c>
      <c r="D22" s="89">
        <f>IF(OR(C22=0,C22=""),0,IF(C22="NEMA",0,HLOOKUP(C22,PRILOG!C36:G37,2,FALSE)))</f>
        <v>0</v>
      </c>
    </row>
    <row r="23" spans="1:4" ht="48.75" customHeight="1" x14ac:dyDescent="0.4">
      <c r="A23" s="162" t="s">
        <v>142</v>
      </c>
      <c r="B23" s="151" t="s">
        <v>289</v>
      </c>
      <c r="C23" s="152" t="b">
        <f>IF('GOSPODARSKI POKAZATELJI'!B19="","",IF('GOSPODARSKI POKAZATELJI'!G7&gt;0,"DOBIT",IF('GOSPODARSKI POKAZATELJI'!G8&gt;0,"EBIT",IF('GOSPODARSKI POKAZATELJI'!G9&gt;0,"EBITDA"))))</f>
        <v>0</v>
      </c>
      <c r="D23" s="89">
        <f>IF(C23=FALSE,0,IF(C23="",0,HLOOKUP(C23,PRILOG!C38:H39,2,FALSE)))</f>
        <v>0</v>
      </c>
    </row>
    <row r="24" spans="1:4" ht="48.75" customHeight="1" x14ac:dyDescent="0.4">
      <c r="A24" s="162" t="s">
        <v>290</v>
      </c>
      <c r="B24" s="151" t="s">
        <v>306</v>
      </c>
      <c r="C24" s="157" t="e">
        <f>IF(SUM(EKO)/SUM(ZEMLJIŠTE)&gt;=0.5,"Ekološka",IF(SUM(INT)/SUM(ZEMLJIŠTE)&gt;=0.5,"Integrirana","Nije ekološka i/ili integrirana proizvodnja"))</f>
        <v>#DIV/0!</v>
      </c>
      <c r="D24" s="88">
        <f>IF(ISERROR(C24),0,IF(C24="Ekološka",PRILOG!C41,IF(C24="Integrirana",PRILOG!F41,0)))</f>
        <v>0</v>
      </c>
    </row>
    <row r="25" spans="1:4" ht="48.75" customHeight="1" x14ac:dyDescent="0.4">
      <c r="A25" s="162" t="s">
        <v>294</v>
      </c>
      <c r="B25" s="151" t="s">
        <v>295</v>
      </c>
      <c r="C25" s="154" t="str">
        <f ca="1">IF(IDENTIFIKACIJA!B5="","",(TODAY()-IDENTIFIKACIJA!B5)/365)</f>
        <v/>
      </c>
      <c r="D25" s="89">
        <f ca="1">IF(C25="",0,IF(C25&gt;2,PRILOG!C43,IF(C25&lt;=2,PRILOG!F43)))</f>
        <v>0</v>
      </c>
    </row>
    <row r="26" spans="1:4" ht="34.5" customHeight="1" x14ac:dyDescent="0.4">
      <c r="A26" s="384" t="s">
        <v>409</v>
      </c>
      <c r="B26" s="331"/>
      <c r="C26" s="331"/>
      <c r="D26" s="158">
        <f ca="1">SUM(D9:D15,D16:D25)</f>
        <v>1</v>
      </c>
    </row>
    <row r="27" spans="1:4" ht="34.5" customHeight="1" x14ac:dyDescent="0.4">
      <c r="A27" s="392" t="s">
        <v>407</v>
      </c>
      <c r="B27" s="393"/>
      <c r="C27" s="393"/>
      <c r="D27" s="393"/>
    </row>
    <row r="28" spans="1:4" ht="34.5" customHeight="1" x14ac:dyDescent="0.4">
      <c r="A28" s="162" t="s">
        <v>125</v>
      </c>
      <c r="B28" s="394" t="s">
        <v>404</v>
      </c>
      <c r="C28" s="331"/>
      <c r="D28" s="197" t="e">
        <f>IF(ponudena&gt;2*IR1,"PONUĐENA CIJENA JE VEĆA OD DVOSTRUKE POČETNE",IF(ponudena&lt;IR1,"PONUĐENA CIJENA JE MANJA OD POČETNE",ROUNDUP(IS3,0)))</f>
        <v>#DIV/0!</v>
      </c>
    </row>
    <row r="29" spans="1:4" ht="34.5" customHeight="1" x14ac:dyDescent="0.4">
      <c r="A29" s="384" t="s">
        <v>410</v>
      </c>
      <c r="B29" s="331"/>
      <c r="C29" s="331"/>
      <c r="D29" s="196" t="e">
        <f>IF(OR(D28="PONUĐENA CIJENA JE VEĆA OD DVOSTRUKE POČETNE",D28="PONUĐENA CIJENA JE MANJA OD POČETNE"),"ODBACITI PONUDU",D28)</f>
        <v>#DIV/0!</v>
      </c>
    </row>
    <row r="30" spans="1:4" ht="34.5" customHeight="1" x14ac:dyDescent="0.4">
      <c r="A30" s="392" t="s">
        <v>408</v>
      </c>
      <c r="B30" s="393"/>
      <c r="C30" s="393"/>
      <c r="D30" s="393"/>
    </row>
    <row r="31" spans="1:4" ht="34.5" customHeight="1" x14ac:dyDescent="0.4">
      <c r="A31" s="162" t="s">
        <v>405</v>
      </c>
      <c r="B31" s="151" t="s">
        <v>406</v>
      </c>
      <c r="C31" s="172" t="s">
        <v>394</v>
      </c>
      <c r="D31" s="89">
        <f>IF(C31="DA",20,0)</f>
        <v>20</v>
      </c>
    </row>
    <row r="32" spans="1:4" ht="34.5" customHeight="1" x14ac:dyDescent="0.4">
      <c r="A32" s="384" t="s">
        <v>411</v>
      </c>
      <c r="B32" s="331"/>
      <c r="C32" s="331"/>
      <c r="D32" s="158">
        <f>D31</f>
        <v>20</v>
      </c>
    </row>
    <row r="33" spans="1:4" x14ac:dyDescent="0.4">
      <c r="A33" s="171"/>
      <c r="B33" s="171"/>
      <c r="C33" s="171"/>
    </row>
    <row r="34" spans="1:4" ht="23.5" x14ac:dyDescent="0.55000000000000004">
      <c r="A34" s="171"/>
      <c r="B34" s="388" t="s">
        <v>412</v>
      </c>
      <c r="C34" s="389"/>
      <c r="D34" s="175" t="e">
        <f ca="1">SUM(D26,D29,D32)</f>
        <v>#DIV/0!</v>
      </c>
    </row>
    <row r="35" spans="1:4" x14ac:dyDescent="0.4">
      <c r="A35" s="171"/>
      <c r="B35" s="171"/>
      <c r="C35" s="171"/>
    </row>
    <row r="36" spans="1:4" x14ac:dyDescent="0.4">
      <c r="A36" s="171"/>
      <c r="B36" s="171"/>
      <c r="C36" s="171"/>
    </row>
    <row r="37" spans="1:4" x14ac:dyDescent="0.4">
      <c r="B37" s="160">
        <f ca="1">TODAY()</f>
        <v>43150</v>
      </c>
      <c r="C37" s="380"/>
      <c r="D37" s="380"/>
    </row>
    <row r="38" spans="1:4" x14ac:dyDescent="0.4">
      <c r="B38" s="159" t="s">
        <v>1</v>
      </c>
      <c r="C38" s="379" t="s">
        <v>393</v>
      </c>
      <c r="D38" s="379"/>
    </row>
  </sheetData>
  <sheetProtection selectLockedCells="1"/>
  <mergeCells count="18">
    <mergeCell ref="B28:C28"/>
    <mergeCell ref="A30:D30"/>
    <mergeCell ref="C38:D38"/>
    <mergeCell ref="C37:D37"/>
    <mergeCell ref="A14:D14"/>
    <mergeCell ref="A26:C26"/>
    <mergeCell ref="A5:D6"/>
    <mergeCell ref="A32:C32"/>
    <mergeCell ref="B34:C34"/>
    <mergeCell ref="A7:D7"/>
    <mergeCell ref="A27:D27"/>
    <mergeCell ref="A29:C29"/>
    <mergeCell ref="C3:D3"/>
    <mergeCell ref="A1:B1"/>
    <mergeCell ref="A2:B2"/>
    <mergeCell ref="C1:D1"/>
    <mergeCell ref="C2:D2"/>
    <mergeCell ref="A3:B3"/>
  </mergeCells>
  <conditionalFormatting sqref="D29">
    <cfRule type="containsText" dxfId="8" priority="1" stopIfTrue="1" operator="containsText" text="ODBACITI PONUDU">
      <formula>NOT(ISERROR(SEARCH("ODBACITI PONUDU",D29)))</formula>
    </cfRule>
  </conditionalFormatting>
  <dataValidations count="2">
    <dataValidation type="list" allowBlank="1" showInputMessage="1" showErrorMessage="1" sqref="C19">
      <formula1>"&gt;5 GODINA,2-5 GODINA,&lt;2 GODINE"</formula1>
    </dataValidation>
    <dataValidation type="list" allowBlank="1" showInputMessage="1" showErrorMessage="1" sqref="C31">
      <formula1>"DA,NE"</formula1>
    </dataValidation>
  </dataValidations>
  <pageMargins left="0.7" right="0.7" top="0.75" bottom="0.75" header="0.3" footer="0.3"/>
  <pageSetup paperSize="9" scale="59" orientation="portrait" r:id="rId1"/>
  <rowBreaks count="1" manualBreakCount="1">
    <brk id="42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view="pageBreakPreview" topLeftCell="C1" zoomScale="115" zoomScaleNormal="100" zoomScaleSheetLayoutView="115" workbookViewId="0">
      <selection activeCell="C19" sqref="C19"/>
    </sheetView>
  </sheetViews>
  <sheetFormatPr defaultColWidth="9" defaultRowHeight="12.5" x14ac:dyDescent="0.25"/>
  <cols>
    <col min="1" max="1" width="5.58203125" style="43" customWidth="1"/>
    <col min="2" max="2" width="36.25" style="43" customWidth="1"/>
    <col min="3" max="3" width="25.58203125" style="43" customWidth="1"/>
    <col min="4" max="4" width="25.83203125" style="43" customWidth="1"/>
    <col min="5" max="5" width="27.08203125" style="43" customWidth="1"/>
    <col min="6" max="6" width="15.83203125" style="43" customWidth="1"/>
    <col min="7" max="7" width="17.58203125" style="43" customWidth="1"/>
    <col min="8" max="8" width="1.33203125" style="43" hidden="1" customWidth="1"/>
    <col min="9" max="9" width="10.58203125" style="49" customWidth="1"/>
    <col min="10" max="16384" width="9" style="43"/>
  </cols>
  <sheetData>
    <row r="2" spans="1:9" ht="19" thickBot="1" x14ac:dyDescent="0.5">
      <c r="F2" s="44" t="s">
        <v>238</v>
      </c>
      <c r="I2" s="45"/>
    </row>
    <row r="3" spans="1:9" s="49" customFormat="1" ht="13" x14ac:dyDescent="0.4">
      <c r="A3" s="46"/>
      <c r="B3" s="47"/>
      <c r="C3" s="405" t="s">
        <v>239</v>
      </c>
      <c r="D3" s="405"/>
      <c r="E3" s="405"/>
      <c r="F3" s="405"/>
      <c r="G3" s="405"/>
      <c r="H3" s="47"/>
      <c r="I3" s="48"/>
    </row>
    <row r="4" spans="1:9" s="49" customFormat="1" ht="13.5" thickBot="1" x14ac:dyDescent="0.45">
      <c r="A4" s="50" t="s">
        <v>131</v>
      </c>
      <c r="B4" s="51" t="s">
        <v>240</v>
      </c>
      <c r="C4" s="406" t="s">
        <v>241</v>
      </c>
      <c r="D4" s="406"/>
      <c r="E4" s="406"/>
      <c r="F4" s="406"/>
      <c r="G4" s="406"/>
      <c r="H4" s="406"/>
      <c r="I4" s="52" t="s">
        <v>242</v>
      </c>
    </row>
    <row r="5" spans="1:9" x14ac:dyDescent="0.25">
      <c r="A5" s="395" t="s">
        <v>125</v>
      </c>
      <c r="B5" s="397" t="s">
        <v>243</v>
      </c>
      <c r="C5" s="53" t="s">
        <v>244</v>
      </c>
      <c r="D5" s="54" t="s">
        <v>245</v>
      </c>
      <c r="E5" s="53" t="s">
        <v>246</v>
      </c>
      <c r="F5" s="407" t="s">
        <v>247</v>
      </c>
      <c r="G5" s="408"/>
      <c r="H5" s="55"/>
      <c r="I5" s="401">
        <v>20</v>
      </c>
    </row>
    <row r="6" spans="1:9" ht="13" thickBot="1" x14ac:dyDescent="0.3">
      <c r="A6" s="396"/>
      <c r="B6" s="398"/>
      <c r="C6" s="163">
        <v>20</v>
      </c>
      <c r="D6" s="163">
        <v>18</v>
      </c>
      <c r="E6" s="163">
        <v>15</v>
      </c>
      <c r="F6" s="409">
        <v>10</v>
      </c>
      <c r="G6" s="410"/>
      <c r="H6" s="56"/>
      <c r="I6" s="402"/>
    </row>
    <row r="7" spans="1:9" x14ac:dyDescent="0.25">
      <c r="A7" s="395" t="s">
        <v>126</v>
      </c>
      <c r="B7" s="397" t="s">
        <v>127</v>
      </c>
      <c r="C7" s="399" t="s">
        <v>365</v>
      </c>
      <c r="D7" s="400" t="s">
        <v>366</v>
      </c>
      <c r="E7" s="57" t="s">
        <v>367</v>
      </c>
      <c r="F7" s="399" t="s">
        <v>368</v>
      </c>
      <c r="G7" s="400"/>
      <c r="H7" s="55"/>
      <c r="I7" s="401">
        <v>14</v>
      </c>
    </row>
    <row r="8" spans="1:9" ht="13" thickBot="1" x14ac:dyDescent="0.3">
      <c r="A8" s="396"/>
      <c r="B8" s="398"/>
      <c r="C8" s="163">
        <v>14</v>
      </c>
      <c r="D8" s="163">
        <v>9</v>
      </c>
      <c r="E8" s="163">
        <v>4</v>
      </c>
      <c r="F8" s="403">
        <v>1</v>
      </c>
      <c r="G8" s="404"/>
      <c r="H8" s="56"/>
      <c r="I8" s="402"/>
    </row>
    <row r="9" spans="1:9" ht="26.25" customHeight="1" x14ac:dyDescent="0.25">
      <c r="A9" s="395" t="s">
        <v>74</v>
      </c>
      <c r="B9" s="411" t="s">
        <v>133</v>
      </c>
      <c r="C9" s="58" t="s">
        <v>248</v>
      </c>
      <c r="D9" s="58" t="s">
        <v>249</v>
      </c>
      <c r="E9" s="58" t="s">
        <v>250</v>
      </c>
      <c r="F9" s="407" t="s">
        <v>251</v>
      </c>
      <c r="G9" s="408"/>
      <c r="H9" s="55"/>
      <c r="I9" s="401">
        <v>18</v>
      </c>
    </row>
    <row r="10" spans="1:9" ht="13" thickBot="1" x14ac:dyDescent="0.3">
      <c r="A10" s="396"/>
      <c r="B10" s="412"/>
      <c r="C10" s="163">
        <v>18</v>
      </c>
      <c r="D10" s="163">
        <v>14</v>
      </c>
      <c r="E10" s="163">
        <v>10</v>
      </c>
      <c r="F10" s="409">
        <v>5</v>
      </c>
      <c r="G10" s="413"/>
      <c r="H10" s="56"/>
      <c r="I10" s="402"/>
    </row>
    <row r="11" spans="1:9" x14ac:dyDescent="0.25">
      <c r="A11" s="395" t="s">
        <v>252</v>
      </c>
      <c r="B11" s="411" t="s">
        <v>253</v>
      </c>
      <c r="C11" s="53" t="s">
        <v>370</v>
      </c>
      <c r="D11" s="53" t="s">
        <v>254</v>
      </c>
      <c r="E11" s="57" t="s">
        <v>255</v>
      </c>
      <c r="F11" s="399" t="s">
        <v>251</v>
      </c>
      <c r="G11" s="400"/>
      <c r="H11" s="55"/>
      <c r="I11" s="401">
        <v>18</v>
      </c>
    </row>
    <row r="12" spans="1:9" ht="13" thickBot="1" x14ac:dyDescent="0.3">
      <c r="A12" s="396"/>
      <c r="B12" s="412"/>
      <c r="C12" s="163">
        <v>18</v>
      </c>
      <c r="D12" s="163">
        <v>14</v>
      </c>
      <c r="E12" s="163">
        <v>10</v>
      </c>
      <c r="F12" s="403">
        <v>5</v>
      </c>
      <c r="G12" s="404"/>
      <c r="H12" s="56"/>
      <c r="I12" s="402"/>
    </row>
    <row r="13" spans="1:9" x14ac:dyDescent="0.25">
      <c r="A13" s="395" t="s">
        <v>256</v>
      </c>
      <c r="B13" s="411" t="s">
        <v>257</v>
      </c>
      <c r="C13" s="53" t="s">
        <v>370</v>
      </c>
      <c r="D13" s="53" t="s">
        <v>254</v>
      </c>
      <c r="E13" s="53" t="s">
        <v>251</v>
      </c>
      <c r="F13" s="407"/>
      <c r="G13" s="424"/>
      <c r="H13" s="55"/>
      <c r="I13" s="401">
        <v>10</v>
      </c>
    </row>
    <row r="14" spans="1:9" ht="13" thickBot="1" x14ac:dyDescent="0.3">
      <c r="A14" s="396"/>
      <c r="B14" s="412"/>
      <c r="C14" s="163">
        <v>10</v>
      </c>
      <c r="D14" s="163">
        <v>5</v>
      </c>
      <c r="E14" s="163">
        <v>1</v>
      </c>
      <c r="F14" s="425"/>
      <c r="G14" s="426"/>
      <c r="H14" s="56"/>
      <c r="I14" s="402"/>
    </row>
    <row r="15" spans="1:9" x14ac:dyDescent="0.25">
      <c r="A15" s="427" t="s">
        <v>258</v>
      </c>
      <c r="B15" s="428"/>
      <c r="C15" s="428"/>
      <c r="D15" s="428"/>
      <c r="E15" s="428"/>
      <c r="F15" s="428"/>
      <c r="G15" s="428"/>
      <c r="H15" s="428"/>
      <c r="I15" s="429"/>
    </row>
    <row r="16" spans="1:9" s="49" customFormat="1" ht="13" x14ac:dyDescent="0.4">
      <c r="A16" s="59"/>
      <c r="B16" s="60"/>
      <c r="C16" s="414" t="s">
        <v>259</v>
      </c>
      <c r="D16" s="414"/>
      <c r="E16" s="414"/>
      <c r="F16" s="414"/>
      <c r="G16" s="414"/>
      <c r="H16" s="60"/>
      <c r="I16" s="61"/>
    </row>
    <row r="17" spans="1:10" s="49" customFormat="1" ht="13.5" thickBot="1" x14ac:dyDescent="0.35">
      <c r="A17" s="50" t="s">
        <v>131</v>
      </c>
      <c r="B17" s="51" t="s">
        <v>240</v>
      </c>
      <c r="C17" s="415" t="s">
        <v>241</v>
      </c>
      <c r="D17" s="415"/>
      <c r="E17" s="415"/>
      <c r="F17" s="415"/>
      <c r="G17" s="415"/>
      <c r="H17" s="415"/>
      <c r="I17" s="52" t="s">
        <v>242</v>
      </c>
    </row>
    <row r="18" spans="1:10" x14ac:dyDescent="0.25">
      <c r="A18" s="416" t="s">
        <v>260</v>
      </c>
      <c r="B18" s="397" t="s">
        <v>261</v>
      </c>
      <c r="C18" s="62" t="s">
        <v>262</v>
      </c>
      <c r="D18" s="63" t="s">
        <v>263</v>
      </c>
      <c r="E18" s="63" t="s">
        <v>264</v>
      </c>
      <c r="F18" s="418" t="s">
        <v>265</v>
      </c>
      <c r="G18" s="419"/>
      <c r="H18" s="419"/>
      <c r="I18" s="420">
        <v>4</v>
      </c>
    </row>
    <row r="19" spans="1:10" ht="13" thickBot="1" x14ac:dyDescent="0.3">
      <c r="A19" s="417"/>
      <c r="B19" s="398"/>
      <c r="C19" s="164">
        <v>4</v>
      </c>
      <c r="D19" s="164">
        <v>3</v>
      </c>
      <c r="E19" s="164">
        <v>2</v>
      </c>
      <c r="F19" s="422">
        <v>1</v>
      </c>
      <c r="G19" s="423"/>
      <c r="H19" s="423"/>
      <c r="I19" s="421"/>
    </row>
    <row r="20" spans="1:10" x14ac:dyDescent="0.25">
      <c r="A20" s="416" t="s">
        <v>266</v>
      </c>
      <c r="B20" s="397" t="s">
        <v>136</v>
      </c>
      <c r="C20" s="62">
        <v>5</v>
      </c>
      <c r="D20" s="65" t="s">
        <v>371</v>
      </c>
      <c r="E20" s="65" t="s">
        <v>372</v>
      </c>
      <c r="F20" s="430" t="s">
        <v>267</v>
      </c>
      <c r="G20" s="419"/>
      <c r="H20" s="419"/>
      <c r="I20" s="401">
        <v>2</v>
      </c>
    </row>
    <row r="21" spans="1:10" ht="13" thickBot="1" x14ac:dyDescent="0.3">
      <c r="A21" s="417"/>
      <c r="B21" s="398"/>
      <c r="C21" s="164">
        <v>2</v>
      </c>
      <c r="D21" s="164">
        <v>1.5</v>
      </c>
      <c r="E21" s="164">
        <v>1</v>
      </c>
      <c r="F21" s="422">
        <v>0.5</v>
      </c>
      <c r="G21" s="441"/>
      <c r="H21" s="441"/>
      <c r="I21" s="440"/>
    </row>
    <row r="22" spans="1:10" x14ac:dyDescent="0.25">
      <c r="A22" s="416" t="s">
        <v>268</v>
      </c>
      <c r="B22" s="397" t="s">
        <v>269</v>
      </c>
      <c r="C22" s="442" t="s">
        <v>72</v>
      </c>
      <c r="D22" s="443"/>
      <c r="E22" s="443"/>
      <c r="F22" s="442" t="s">
        <v>270</v>
      </c>
      <c r="G22" s="419"/>
      <c r="H22" s="64"/>
      <c r="I22" s="401">
        <v>3</v>
      </c>
    </row>
    <row r="23" spans="1:10" ht="13" thickBot="1" x14ac:dyDescent="0.3">
      <c r="A23" s="417"/>
      <c r="B23" s="398"/>
      <c r="C23" s="422">
        <v>3</v>
      </c>
      <c r="D23" s="444"/>
      <c r="E23" s="444"/>
      <c r="F23" s="422">
        <v>1.5</v>
      </c>
      <c r="G23" s="445"/>
      <c r="H23" s="66"/>
      <c r="I23" s="440"/>
    </row>
    <row r="24" spans="1:10" ht="13" x14ac:dyDescent="0.3">
      <c r="A24" s="431">
        <v>9</v>
      </c>
      <c r="B24" s="434" t="s">
        <v>271</v>
      </c>
      <c r="C24" s="437" t="s">
        <v>272</v>
      </c>
      <c r="D24" s="438"/>
      <c r="E24" s="438"/>
      <c r="F24" s="438"/>
      <c r="G24" s="439"/>
      <c r="H24" s="67"/>
      <c r="I24" s="420">
        <v>6</v>
      </c>
    </row>
    <row r="25" spans="1:10" x14ac:dyDescent="0.25">
      <c r="A25" s="432"/>
      <c r="B25" s="435"/>
      <c r="C25" s="448" t="str">
        <f>POPISI!B16</f>
        <v>OBJEKTI UDALJENI &lt;1 KM</v>
      </c>
      <c r="D25" s="449"/>
      <c r="E25" s="68" t="str">
        <f>POPISI!B17</f>
        <v>OBJEKTI UDALJENI 1 - 10 KM</v>
      </c>
      <c r="F25" s="448" t="s">
        <v>273</v>
      </c>
      <c r="G25" s="449"/>
      <c r="H25" s="70"/>
      <c r="I25" s="446"/>
    </row>
    <row r="26" spans="1:10" ht="13" x14ac:dyDescent="0.3">
      <c r="A26" s="432"/>
      <c r="B26" s="435"/>
      <c r="C26" s="450">
        <v>6</v>
      </c>
      <c r="D26" s="451"/>
      <c r="E26" s="165">
        <v>4</v>
      </c>
      <c r="F26" s="450">
        <v>2</v>
      </c>
      <c r="G26" s="451"/>
      <c r="H26" s="70"/>
      <c r="I26" s="446"/>
      <c r="J26" s="71"/>
    </row>
    <row r="27" spans="1:10" ht="13" x14ac:dyDescent="0.3">
      <c r="A27" s="432"/>
      <c r="B27" s="435"/>
      <c r="C27" s="452" t="s">
        <v>274</v>
      </c>
      <c r="D27" s="453"/>
      <c r="E27" s="453"/>
      <c r="F27" s="453"/>
      <c r="G27" s="454"/>
      <c r="H27" s="70"/>
      <c r="I27" s="446"/>
      <c r="J27" s="71"/>
    </row>
    <row r="28" spans="1:10" x14ac:dyDescent="0.25">
      <c r="A28" s="432"/>
      <c r="B28" s="435"/>
      <c r="C28" s="455" t="s">
        <v>137</v>
      </c>
      <c r="D28" s="449"/>
      <c r="E28" s="72" t="s">
        <v>275</v>
      </c>
      <c r="F28" s="455" t="s">
        <v>276</v>
      </c>
      <c r="G28" s="449"/>
      <c r="H28" s="69"/>
      <c r="I28" s="446"/>
    </row>
    <row r="29" spans="1:10" ht="12" customHeight="1" thickBot="1" x14ac:dyDescent="0.3">
      <c r="A29" s="433"/>
      <c r="B29" s="436"/>
      <c r="C29" s="422">
        <v>4</v>
      </c>
      <c r="D29" s="441"/>
      <c r="E29" s="164">
        <v>2</v>
      </c>
      <c r="F29" s="422">
        <v>0</v>
      </c>
      <c r="G29" s="441"/>
      <c r="H29" s="66"/>
      <c r="I29" s="447"/>
    </row>
    <row r="30" spans="1:10" ht="24" customHeight="1" x14ac:dyDescent="0.25">
      <c r="A30" s="416" t="s">
        <v>277</v>
      </c>
      <c r="B30" s="397" t="s">
        <v>278</v>
      </c>
      <c r="C30" s="407" t="s">
        <v>380</v>
      </c>
      <c r="D30" s="408"/>
      <c r="E30" s="53" t="s">
        <v>381</v>
      </c>
      <c r="F30" s="407" t="s">
        <v>382</v>
      </c>
      <c r="G30" s="408"/>
      <c r="H30" s="73"/>
      <c r="I30" s="401">
        <v>4</v>
      </c>
    </row>
    <row r="31" spans="1:10" ht="13" thickBot="1" x14ac:dyDescent="0.3">
      <c r="A31" s="417"/>
      <c r="B31" s="398"/>
      <c r="C31" s="422">
        <v>4</v>
      </c>
      <c r="D31" s="441"/>
      <c r="E31" s="164">
        <v>3</v>
      </c>
      <c r="F31" s="422">
        <v>1</v>
      </c>
      <c r="G31" s="441"/>
      <c r="H31" s="66"/>
      <c r="I31" s="440"/>
    </row>
    <row r="32" spans="1:10" x14ac:dyDescent="0.25">
      <c r="A32" s="416" t="s">
        <v>138</v>
      </c>
      <c r="B32" s="397" t="s">
        <v>279</v>
      </c>
      <c r="C32" s="442" t="s">
        <v>128</v>
      </c>
      <c r="D32" s="419"/>
      <c r="E32" s="419"/>
      <c r="F32" s="442" t="s">
        <v>280</v>
      </c>
      <c r="G32" s="419"/>
      <c r="H32" s="64"/>
      <c r="I32" s="401">
        <v>2</v>
      </c>
    </row>
    <row r="33" spans="1:9" ht="13" thickBot="1" x14ac:dyDescent="0.3">
      <c r="A33" s="417"/>
      <c r="B33" s="398"/>
      <c r="C33" s="422">
        <v>2</v>
      </c>
      <c r="D33" s="441"/>
      <c r="E33" s="441"/>
      <c r="F33" s="422">
        <v>1</v>
      </c>
      <c r="G33" s="441"/>
      <c r="H33" s="66"/>
      <c r="I33" s="440"/>
    </row>
    <row r="34" spans="1:9" ht="22.5" customHeight="1" x14ac:dyDescent="0.25">
      <c r="A34" s="416" t="s">
        <v>139</v>
      </c>
      <c r="B34" s="397" t="s">
        <v>281</v>
      </c>
      <c r="C34" s="442" t="s">
        <v>282</v>
      </c>
      <c r="D34" s="419"/>
      <c r="E34" s="74" t="s">
        <v>283</v>
      </c>
      <c r="F34" s="442" t="s">
        <v>129</v>
      </c>
      <c r="G34" s="419"/>
      <c r="H34" s="62"/>
      <c r="I34" s="401">
        <v>8</v>
      </c>
    </row>
    <row r="35" spans="1:9" ht="13" thickBot="1" x14ac:dyDescent="0.3">
      <c r="A35" s="417"/>
      <c r="B35" s="398"/>
      <c r="C35" s="422">
        <v>8</v>
      </c>
      <c r="D35" s="441"/>
      <c r="E35" s="164">
        <v>6</v>
      </c>
      <c r="F35" s="422">
        <v>6</v>
      </c>
      <c r="G35" s="441"/>
      <c r="H35" s="75"/>
      <c r="I35" s="440"/>
    </row>
    <row r="36" spans="1:9" x14ac:dyDescent="0.25">
      <c r="A36" s="416" t="s">
        <v>284</v>
      </c>
      <c r="B36" s="397" t="s">
        <v>140</v>
      </c>
      <c r="C36" s="62" t="s">
        <v>285</v>
      </c>
      <c r="D36" s="62" t="s">
        <v>141</v>
      </c>
      <c r="E36" s="62" t="s">
        <v>286</v>
      </c>
      <c r="F36" s="62" t="s">
        <v>287</v>
      </c>
      <c r="G36" s="62" t="s">
        <v>288</v>
      </c>
      <c r="H36" s="73"/>
      <c r="I36" s="401">
        <v>4</v>
      </c>
    </row>
    <row r="37" spans="1:9" ht="13" thickBot="1" x14ac:dyDescent="0.3">
      <c r="A37" s="417"/>
      <c r="B37" s="398"/>
      <c r="C37" s="164">
        <v>4</v>
      </c>
      <c r="D37" s="164">
        <v>3</v>
      </c>
      <c r="E37" s="164">
        <v>2.5</v>
      </c>
      <c r="F37" s="164">
        <v>2</v>
      </c>
      <c r="G37" s="164">
        <v>1</v>
      </c>
      <c r="H37" s="76"/>
      <c r="I37" s="440"/>
    </row>
    <row r="38" spans="1:9" x14ac:dyDescent="0.25">
      <c r="A38" s="416" t="s">
        <v>142</v>
      </c>
      <c r="B38" s="397" t="s">
        <v>289</v>
      </c>
      <c r="C38" s="456" t="s">
        <v>387</v>
      </c>
      <c r="D38" s="457"/>
      <c r="E38" s="62" t="s">
        <v>388</v>
      </c>
      <c r="F38" s="442" t="s">
        <v>389</v>
      </c>
      <c r="G38" s="442"/>
      <c r="H38" s="442"/>
      <c r="I38" s="401">
        <v>4</v>
      </c>
    </row>
    <row r="39" spans="1:9" ht="13" thickBot="1" x14ac:dyDescent="0.3">
      <c r="A39" s="417"/>
      <c r="B39" s="398"/>
      <c r="C39" s="458">
        <v>4</v>
      </c>
      <c r="D39" s="459"/>
      <c r="E39" s="164">
        <v>3</v>
      </c>
      <c r="F39" s="422">
        <v>2</v>
      </c>
      <c r="G39" s="460"/>
      <c r="H39" s="460"/>
      <c r="I39" s="440"/>
    </row>
    <row r="40" spans="1:9" x14ac:dyDescent="0.25">
      <c r="A40" s="416" t="s">
        <v>290</v>
      </c>
      <c r="B40" s="397" t="s">
        <v>291</v>
      </c>
      <c r="C40" s="442" t="s">
        <v>292</v>
      </c>
      <c r="D40" s="419"/>
      <c r="E40" s="419"/>
      <c r="F40" s="442" t="s">
        <v>293</v>
      </c>
      <c r="G40" s="419"/>
      <c r="H40" s="62"/>
      <c r="I40" s="401">
        <v>2</v>
      </c>
    </row>
    <row r="41" spans="1:9" ht="13" thickBot="1" x14ac:dyDescent="0.3">
      <c r="A41" s="417"/>
      <c r="B41" s="398"/>
      <c r="C41" s="461">
        <v>2</v>
      </c>
      <c r="D41" s="445"/>
      <c r="E41" s="445"/>
      <c r="F41" s="461">
        <v>1</v>
      </c>
      <c r="G41" s="445"/>
      <c r="H41" s="76"/>
      <c r="I41" s="440"/>
    </row>
    <row r="42" spans="1:9" x14ac:dyDescent="0.25">
      <c r="A42" s="416" t="s">
        <v>294</v>
      </c>
      <c r="B42" s="397" t="s">
        <v>295</v>
      </c>
      <c r="C42" s="456" t="s">
        <v>296</v>
      </c>
      <c r="D42" s="470"/>
      <c r="E42" s="457"/>
      <c r="F42" s="442" t="s">
        <v>297</v>
      </c>
      <c r="G42" s="419"/>
      <c r="H42" s="62"/>
      <c r="I42" s="401">
        <v>1</v>
      </c>
    </row>
    <row r="43" spans="1:9" ht="13" thickBot="1" x14ac:dyDescent="0.3">
      <c r="A43" s="417"/>
      <c r="B43" s="398"/>
      <c r="C43" s="462">
        <v>1</v>
      </c>
      <c r="D43" s="463"/>
      <c r="E43" s="464"/>
      <c r="F43" s="460">
        <v>0.5</v>
      </c>
      <c r="G43" s="441"/>
      <c r="H43" s="75"/>
      <c r="I43" s="440"/>
    </row>
    <row r="44" spans="1:9" x14ac:dyDescent="0.25">
      <c r="A44" s="77"/>
      <c r="B44" s="465" t="s">
        <v>298</v>
      </c>
      <c r="C44" s="466"/>
      <c r="D44" s="466"/>
      <c r="E44" s="466"/>
      <c r="F44" s="466"/>
      <c r="G44" s="467"/>
      <c r="H44" s="78"/>
      <c r="I44" s="79"/>
    </row>
    <row r="45" spans="1:9" ht="13" thickBot="1" x14ac:dyDescent="0.3">
      <c r="A45" s="80" t="s">
        <v>299</v>
      </c>
      <c r="B45" s="468" t="s">
        <v>156</v>
      </c>
      <c r="C45" s="468"/>
      <c r="D45" s="468"/>
      <c r="E45" s="468"/>
      <c r="F45" s="468"/>
      <c r="G45" s="469"/>
      <c r="H45" s="81"/>
      <c r="I45" s="82">
        <v>60</v>
      </c>
    </row>
    <row r="46" spans="1:9" x14ac:dyDescent="0.25">
      <c r="D46" s="49"/>
    </row>
  </sheetData>
  <sheetProtection sheet="1" selectLockedCells="1"/>
  <mergeCells count="108">
    <mergeCell ref="B44:G44"/>
    <mergeCell ref="B45:G45"/>
    <mergeCell ref="A42:A43"/>
    <mergeCell ref="B42:B43"/>
    <mergeCell ref="C42:E42"/>
    <mergeCell ref="F42:G42"/>
    <mergeCell ref="B32:B33"/>
    <mergeCell ref="C32:E32"/>
    <mergeCell ref="I42:I43"/>
    <mergeCell ref="C43:E43"/>
    <mergeCell ref="F43:G43"/>
    <mergeCell ref="A40:A41"/>
    <mergeCell ref="B40:B41"/>
    <mergeCell ref="C40:E40"/>
    <mergeCell ref="F40:G40"/>
    <mergeCell ref="I34:I35"/>
    <mergeCell ref="C35:D35"/>
    <mergeCell ref="F35:G35"/>
    <mergeCell ref="I36:I37"/>
    <mergeCell ref="A36:A37"/>
    <mergeCell ref="B36:B37"/>
    <mergeCell ref="A34:A35"/>
    <mergeCell ref="I38:I39"/>
    <mergeCell ref="C39:D39"/>
    <mergeCell ref="F39:H39"/>
    <mergeCell ref="I40:I41"/>
    <mergeCell ref="C41:E41"/>
    <mergeCell ref="F41:G41"/>
    <mergeCell ref="F31:G31"/>
    <mergeCell ref="F29:G29"/>
    <mergeCell ref="A38:A39"/>
    <mergeCell ref="B38:B39"/>
    <mergeCell ref="C38:D38"/>
    <mergeCell ref="F38:H38"/>
    <mergeCell ref="B34:B35"/>
    <mergeCell ref="C34:D34"/>
    <mergeCell ref="F34:G34"/>
    <mergeCell ref="A32:A33"/>
    <mergeCell ref="F32:G32"/>
    <mergeCell ref="I32:I33"/>
    <mergeCell ref="C33:E33"/>
    <mergeCell ref="F33:G33"/>
    <mergeCell ref="A30:A31"/>
    <mergeCell ref="B30:B31"/>
    <mergeCell ref="C30:D30"/>
    <mergeCell ref="F30:G30"/>
    <mergeCell ref="I30:I31"/>
    <mergeCell ref="C31:D31"/>
    <mergeCell ref="I24:I29"/>
    <mergeCell ref="C25:D25"/>
    <mergeCell ref="F25:G25"/>
    <mergeCell ref="C26:D26"/>
    <mergeCell ref="F26:G26"/>
    <mergeCell ref="C27:G27"/>
    <mergeCell ref="C28:D28"/>
    <mergeCell ref="F28:G28"/>
    <mergeCell ref="C29:D29"/>
    <mergeCell ref="I20:I21"/>
    <mergeCell ref="F21:H21"/>
    <mergeCell ref="A22:A23"/>
    <mergeCell ref="B22:B23"/>
    <mergeCell ref="C22:E22"/>
    <mergeCell ref="F22:G22"/>
    <mergeCell ref="I22:I23"/>
    <mergeCell ref="C23:E23"/>
    <mergeCell ref="F23:G23"/>
    <mergeCell ref="A20:A21"/>
    <mergeCell ref="B20:B21"/>
    <mergeCell ref="F20:H20"/>
    <mergeCell ref="A24:A29"/>
    <mergeCell ref="B24:B29"/>
    <mergeCell ref="C24:G24"/>
    <mergeCell ref="A13:A14"/>
    <mergeCell ref="B13:B14"/>
    <mergeCell ref="F13:G13"/>
    <mergeCell ref="I13:I14"/>
    <mergeCell ref="F14:G14"/>
    <mergeCell ref="A15:I15"/>
    <mergeCell ref="C16:G16"/>
    <mergeCell ref="C17:H17"/>
    <mergeCell ref="A18:A19"/>
    <mergeCell ref="B18:B19"/>
    <mergeCell ref="F18:H18"/>
    <mergeCell ref="I18:I19"/>
    <mergeCell ref="F19:H19"/>
    <mergeCell ref="A9:A10"/>
    <mergeCell ref="B9:B10"/>
    <mergeCell ref="F9:G9"/>
    <mergeCell ref="I9:I10"/>
    <mergeCell ref="F10:G10"/>
    <mergeCell ref="A11:A12"/>
    <mergeCell ref="B11:B12"/>
    <mergeCell ref="F11:G11"/>
    <mergeCell ref="I11:I12"/>
    <mergeCell ref="F12:G12"/>
    <mergeCell ref="C3:G3"/>
    <mergeCell ref="C4:H4"/>
    <mergeCell ref="A5:A6"/>
    <mergeCell ref="B5:B6"/>
    <mergeCell ref="F5:G5"/>
    <mergeCell ref="I5:I6"/>
    <mergeCell ref="F6:G6"/>
    <mergeCell ref="A7:A8"/>
    <mergeCell ref="B7:B8"/>
    <mergeCell ref="F7:G7"/>
    <mergeCell ref="I7:I8"/>
    <mergeCell ref="F8:G8"/>
    <mergeCell ref="C7:D7"/>
  </mergeCells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115" zoomScaleNormal="100" zoomScaleSheetLayoutView="115" workbookViewId="0">
      <selection activeCell="D4" sqref="D4"/>
    </sheetView>
  </sheetViews>
  <sheetFormatPr defaultRowHeight="15" x14ac:dyDescent="0.4"/>
  <cols>
    <col min="2" max="2" width="31" bestFit="1" customWidth="1"/>
    <col min="3" max="3" width="24.83203125" customWidth="1"/>
    <col min="4" max="4" width="33.83203125" bestFit="1" customWidth="1"/>
    <col min="7" max="7" width="15.75" bestFit="1" customWidth="1"/>
  </cols>
  <sheetData>
    <row r="1" spans="1:10" x14ac:dyDescent="0.4">
      <c r="A1" t="s">
        <v>338</v>
      </c>
      <c r="B1" t="s">
        <v>339</v>
      </c>
      <c r="C1" s="90" t="s">
        <v>307</v>
      </c>
      <c r="D1" s="94" t="s">
        <v>340</v>
      </c>
      <c r="E1" s="95" t="s">
        <v>341</v>
      </c>
      <c r="H1" t="s">
        <v>308</v>
      </c>
      <c r="I1" t="s">
        <v>34</v>
      </c>
    </row>
    <row r="2" spans="1:10" x14ac:dyDescent="0.4">
      <c r="A2" s="91" t="s">
        <v>309</v>
      </c>
      <c r="B2" s="92" t="s">
        <v>310</v>
      </c>
      <c r="C2" s="90" t="s">
        <v>312</v>
      </c>
      <c r="D2" s="94" t="s">
        <v>313</v>
      </c>
      <c r="E2" s="95" t="s">
        <v>314</v>
      </c>
      <c r="G2" t="s">
        <v>315</v>
      </c>
      <c r="H2">
        <v>1</v>
      </c>
      <c r="I2" t="s">
        <v>316</v>
      </c>
      <c r="J2" t="s">
        <v>317</v>
      </c>
    </row>
    <row r="3" spans="1:10" x14ac:dyDescent="0.4">
      <c r="A3" s="91"/>
      <c r="B3" s="92" t="s">
        <v>318</v>
      </c>
      <c r="C3" s="90" t="s">
        <v>383</v>
      </c>
      <c r="D3" s="94" t="s">
        <v>363</v>
      </c>
      <c r="E3" s="95" t="s">
        <v>288</v>
      </c>
      <c r="G3" t="s">
        <v>319</v>
      </c>
      <c r="H3">
        <v>1</v>
      </c>
      <c r="I3" t="s">
        <v>320</v>
      </c>
      <c r="J3" t="s">
        <v>321</v>
      </c>
    </row>
    <row r="4" spans="1:10" x14ac:dyDescent="0.4">
      <c r="A4" s="91"/>
      <c r="B4" s="92" t="s">
        <v>322</v>
      </c>
      <c r="C4" s="90"/>
      <c r="D4" s="94" t="s">
        <v>364</v>
      </c>
      <c r="E4" s="95" t="s">
        <v>287</v>
      </c>
      <c r="G4" t="s">
        <v>324</v>
      </c>
      <c r="H4">
        <v>1</v>
      </c>
      <c r="I4" t="s">
        <v>325</v>
      </c>
    </row>
    <row r="5" spans="1:10" x14ac:dyDescent="0.4">
      <c r="A5" s="91"/>
      <c r="B5" s="92" t="s">
        <v>369</v>
      </c>
      <c r="C5" s="90"/>
      <c r="D5" s="94" t="s">
        <v>347</v>
      </c>
      <c r="E5" s="95" t="s">
        <v>286</v>
      </c>
      <c r="G5" t="s">
        <v>327</v>
      </c>
      <c r="H5">
        <v>1</v>
      </c>
      <c r="I5" t="s">
        <v>328</v>
      </c>
    </row>
    <row r="6" spans="1:10" x14ac:dyDescent="0.4">
      <c r="A6" s="91"/>
      <c r="B6" s="92" t="s">
        <v>329</v>
      </c>
      <c r="C6" s="90"/>
      <c r="D6" s="94" t="s">
        <v>365</v>
      </c>
      <c r="E6" s="95" t="s">
        <v>331</v>
      </c>
    </row>
    <row r="7" spans="1:10" x14ac:dyDescent="0.4">
      <c r="A7" s="91"/>
      <c r="B7" s="92"/>
      <c r="C7" s="90"/>
      <c r="D7" s="94" t="s">
        <v>366</v>
      </c>
      <c r="E7" s="95" t="s">
        <v>333</v>
      </c>
    </row>
    <row r="8" spans="1:10" x14ac:dyDescent="0.4">
      <c r="A8" s="91"/>
      <c r="B8" s="92"/>
      <c r="C8" s="90"/>
      <c r="D8" s="94" t="s">
        <v>367</v>
      </c>
    </row>
    <row r="9" spans="1:10" x14ac:dyDescent="0.4">
      <c r="A9" s="91"/>
      <c r="B9" s="92"/>
      <c r="C9" s="90"/>
      <c r="D9" s="94" t="s">
        <v>368</v>
      </c>
    </row>
    <row r="10" spans="1:10" x14ac:dyDescent="0.4">
      <c r="A10" s="91"/>
      <c r="B10" s="92"/>
    </row>
    <row r="13" spans="1:10" x14ac:dyDescent="0.4">
      <c r="A13" s="93"/>
    </row>
    <row r="15" spans="1:10" x14ac:dyDescent="0.4">
      <c r="B15" t="s">
        <v>373</v>
      </c>
      <c r="C15" t="s">
        <v>340</v>
      </c>
      <c r="G15" t="s">
        <v>311</v>
      </c>
      <c r="I15" t="s">
        <v>8</v>
      </c>
    </row>
    <row r="16" spans="1:10" x14ac:dyDescent="0.4">
      <c r="B16" s="145" t="s">
        <v>374</v>
      </c>
      <c r="C16" s="144" t="s">
        <v>422</v>
      </c>
      <c r="G16" t="s">
        <v>18</v>
      </c>
      <c r="H16">
        <v>1</v>
      </c>
      <c r="I16" t="s">
        <v>9</v>
      </c>
    </row>
    <row r="17" spans="2:9" x14ac:dyDescent="0.4">
      <c r="B17" s="145" t="s">
        <v>375</v>
      </c>
      <c r="C17" s="144" t="s">
        <v>423</v>
      </c>
      <c r="G17" t="s">
        <v>323</v>
      </c>
      <c r="H17">
        <v>1</v>
      </c>
      <c r="I17" t="s">
        <v>10</v>
      </c>
    </row>
    <row r="18" spans="2:9" x14ac:dyDescent="0.4">
      <c r="B18" s="145" t="s">
        <v>376</v>
      </c>
      <c r="C18" s="144" t="s">
        <v>421</v>
      </c>
      <c r="G18" t="s">
        <v>14</v>
      </c>
      <c r="H18">
        <v>0.15</v>
      </c>
      <c r="I18" t="s">
        <v>326</v>
      </c>
    </row>
    <row r="19" spans="2:9" x14ac:dyDescent="0.4">
      <c r="B19" s="145" t="s">
        <v>377</v>
      </c>
      <c r="G19" t="s">
        <v>15</v>
      </c>
      <c r="H19">
        <v>0.15</v>
      </c>
      <c r="I19" t="s">
        <v>330</v>
      </c>
    </row>
    <row r="20" spans="2:9" x14ac:dyDescent="0.4">
      <c r="B20" s="145" t="s">
        <v>379</v>
      </c>
      <c r="G20" t="s">
        <v>349</v>
      </c>
      <c r="H20">
        <v>0.15</v>
      </c>
      <c r="I20" t="s">
        <v>332</v>
      </c>
    </row>
    <row r="21" spans="2:9" x14ac:dyDescent="0.4">
      <c r="B21" s="145" t="s">
        <v>378</v>
      </c>
      <c r="G21" t="s">
        <v>334</v>
      </c>
      <c r="H21">
        <v>4.0000000000000001E-3</v>
      </c>
      <c r="I21" t="s">
        <v>335</v>
      </c>
    </row>
    <row r="22" spans="2:9" x14ac:dyDescent="0.4">
      <c r="G22" t="s">
        <v>17</v>
      </c>
      <c r="H22">
        <v>2.5000000000000001E-3</v>
      </c>
    </row>
    <row r="23" spans="2:9" x14ac:dyDescent="0.4">
      <c r="G23" t="s">
        <v>336</v>
      </c>
      <c r="H23">
        <v>0.02</v>
      </c>
    </row>
    <row r="24" spans="2:9" x14ac:dyDescent="0.4">
      <c r="G24" t="s">
        <v>337</v>
      </c>
      <c r="H24">
        <v>0.02</v>
      </c>
    </row>
    <row r="25" spans="2:9" x14ac:dyDescent="0.4">
      <c r="G25" t="s">
        <v>12</v>
      </c>
      <c r="H25">
        <v>0.3</v>
      </c>
    </row>
    <row r="26" spans="2:9" x14ac:dyDescent="0.4">
      <c r="G26" t="s">
        <v>350</v>
      </c>
      <c r="H26">
        <v>0.6</v>
      </c>
    </row>
  </sheetData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zoomScale="130" zoomScaleNormal="130" workbookViewId="0">
      <selection activeCell="D5" sqref="D5"/>
    </sheetView>
  </sheetViews>
  <sheetFormatPr defaultColWidth="9" defaultRowHeight="13" x14ac:dyDescent="0.3"/>
  <cols>
    <col min="1" max="1" width="30.75" style="96" bestFit="1" customWidth="1"/>
    <col min="2" max="2" width="17.5" style="96" customWidth="1"/>
    <col min="3" max="3" width="19.58203125" style="96" customWidth="1"/>
    <col min="4" max="4" width="11" style="96" customWidth="1"/>
    <col min="5" max="5" width="10.08203125" style="96" customWidth="1"/>
    <col min="6" max="6" width="14.33203125" style="96" customWidth="1"/>
    <col min="7" max="7" width="17.33203125" style="96" customWidth="1"/>
    <col min="8" max="16384" width="9" style="96"/>
  </cols>
  <sheetData>
    <row r="1" spans="1:28" ht="26" x14ac:dyDescent="0.3">
      <c r="A1" s="96" t="s">
        <v>342</v>
      </c>
      <c r="B1" s="97" t="s">
        <v>343</v>
      </c>
      <c r="C1" s="97" t="s">
        <v>344</v>
      </c>
      <c r="D1" s="97" t="s">
        <v>361</v>
      </c>
      <c r="E1" s="97" t="s">
        <v>362</v>
      </c>
      <c r="F1" s="97" t="s">
        <v>345</v>
      </c>
      <c r="G1" s="97" t="s">
        <v>346</v>
      </c>
      <c r="H1" s="98"/>
      <c r="AA1" s="99" t="str">
        <f>IF(C5&lt;=AB1,"Potrebno dodatno zapošljavanje","Prijavitelj trenutno ima dovoljno radne snage te se dodatni bodovi neće dodijeliti za novo zapošljavanje")</f>
        <v>Potrebno dodatno zapošljavanje</v>
      </c>
      <c r="AB1" s="100">
        <f>SUM(E6:G6)</f>
        <v>0</v>
      </c>
    </row>
    <row r="2" spans="1:28" x14ac:dyDescent="0.3">
      <c r="A2" s="96" t="s">
        <v>313</v>
      </c>
      <c r="B2" s="83">
        <f>SUM(STOKA)</f>
        <v>0</v>
      </c>
      <c r="C2" s="101">
        <f>SUM(ZAPOSLENI)</f>
        <v>0</v>
      </c>
      <c r="D2" s="83">
        <v>0.02</v>
      </c>
      <c r="E2" s="101">
        <f>D2*B2</f>
        <v>0</v>
      </c>
      <c r="F2" s="102">
        <v>0</v>
      </c>
      <c r="G2" s="101">
        <f>F2/D2</f>
        <v>0</v>
      </c>
      <c r="AA2" s="99">
        <f>IF(AB1&gt;C5,1,0)</f>
        <v>0</v>
      </c>
      <c r="AB2" s="100">
        <f>AB1-C5</f>
        <v>0</v>
      </c>
    </row>
    <row r="3" spans="1:28" x14ac:dyDescent="0.3">
      <c r="A3" s="96" t="s">
        <v>347</v>
      </c>
      <c r="B3" s="83">
        <f>SUM(GOSPODARSKI_PROGRAM!B23:'GOSPODARSKI_PROGRAM'!B26)</f>
        <v>0</v>
      </c>
      <c r="C3" s="101">
        <f>SUM(ZAPOSLENI)</f>
        <v>0</v>
      </c>
      <c r="D3" s="83">
        <f>AVERAGE(D23:D26)</f>
        <v>0.67045381270841387</v>
      </c>
      <c r="E3" s="101">
        <f>B3*D3</f>
        <v>0</v>
      </c>
      <c r="F3" s="103">
        <v>0</v>
      </c>
      <c r="G3" s="101">
        <f>F3/D3</f>
        <v>0</v>
      </c>
    </row>
    <row r="4" spans="1:28" x14ac:dyDescent="0.3">
      <c r="A4" s="96" t="s">
        <v>348</v>
      </c>
      <c r="B4" s="83">
        <f>SUM(GOSPODARSKI_PROGRAM!B21:B22)</f>
        <v>0</v>
      </c>
      <c r="C4" s="101">
        <f>SUM(ZAPOSLENI)</f>
        <v>0</v>
      </c>
      <c r="D4" s="83">
        <f>AVERAGE(D21:D22)</f>
        <v>2.1744324970131421</v>
      </c>
      <c r="E4" s="101">
        <f>B4*D4</f>
        <v>0</v>
      </c>
      <c r="F4" s="102">
        <v>0</v>
      </c>
      <c r="G4" s="101">
        <f>F4/D4</f>
        <v>0</v>
      </c>
    </row>
    <row r="5" spans="1:28" x14ac:dyDescent="0.3">
      <c r="A5" s="96" t="s">
        <v>315</v>
      </c>
      <c r="B5" s="83">
        <f>GOSPODARSKI_PROGRAM!B20+GOSPODARSKI_PROGRAM!B27</f>
        <v>0</v>
      </c>
      <c r="C5" s="101">
        <f>SUM(ZAPOSLENI)</f>
        <v>0</v>
      </c>
      <c r="D5" s="83">
        <v>0.02</v>
      </c>
      <c r="E5" s="101">
        <f>B5*D5</f>
        <v>0</v>
      </c>
      <c r="F5" s="103">
        <v>0</v>
      </c>
      <c r="G5" s="101">
        <f>F5/D5</f>
        <v>0</v>
      </c>
    </row>
    <row r="6" spans="1:28" ht="16" x14ac:dyDescent="0.4">
      <c r="A6" s="104" t="s">
        <v>156</v>
      </c>
      <c r="B6" s="105"/>
      <c r="C6" s="106">
        <f>IF(AND(C2="",C3="",C4=""),"",AVERAGE(C2:C5))</f>
        <v>0</v>
      </c>
      <c r="D6" s="105"/>
      <c r="E6" s="107">
        <f>SUM(E2:E5)</f>
        <v>0</v>
      </c>
      <c r="F6" s="108"/>
      <c r="G6" s="107">
        <f>SUM(G2:G5)</f>
        <v>0</v>
      </c>
    </row>
    <row r="9" spans="1:28" x14ac:dyDescent="0.3">
      <c r="C9" s="99">
        <f>ZAPOSL!G14</f>
        <v>0</v>
      </c>
      <c r="D9" s="99"/>
      <c r="E9" s="138" t="e">
        <f>C6/E6</f>
        <v>#DIV/0!</v>
      </c>
    </row>
    <row r="10" spans="1:28" x14ac:dyDescent="0.3">
      <c r="C10" s="139" t="e">
        <f>IF(E9&gt;=1,1,IF(AND(E9&gt;=0.8,E9&lt;1),2,IF(AND(E9&gt;=0.7,E9&lt;0.8),3,4)))</f>
        <v>#DIV/0!</v>
      </c>
      <c r="D10" s="99"/>
      <c r="E10" s="99"/>
    </row>
    <row r="15" spans="1:28" x14ac:dyDescent="0.3">
      <c r="E15" s="140"/>
    </row>
    <row r="19" spans="1:4" ht="13.5" thickBot="1" x14ac:dyDescent="0.35"/>
    <row r="20" spans="1:4" ht="13.5" thickBot="1" x14ac:dyDescent="0.35">
      <c r="A20" s="472" t="s">
        <v>351</v>
      </c>
      <c r="B20" s="472"/>
      <c r="C20" s="136" t="s">
        <v>352</v>
      </c>
    </row>
    <row r="21" spans="1:4" ht="13.5" thickBot="1" x14ac:dyDescent="0.35">
      <c r="A21" s="473" t="s">
        <v>353</v>
      </c>
      <c r="B21" s="137" t="s">
        <v>354</v>
      </c>
      <c r="C21" s="215">
        <v>1.55</v>
      </c>
      <c r="D21" s="96">
        <f t="shared" ref="D21:D26" si="0">1/C21</f>
        <v>0.64516129032258063</v>
      </c>
    </row>
    <row r="22" spans="1:4" ht="13.5" thickBot="1" x14ac:dyDescent="0.35">
      <c r="A22" s="474"/>
      <c r="B22" s="137" t="s">
        <v>355</v>
      </c>
      <c r="C22" s="215">
        <v>0.27</v>
      </c>
      <c r="D22" s="96">
        <f t="shared" si="0"/>
        <v>3.7037037037037033</v>
      </c>
    </row>
    <row r="23" spans="1:4" ht="13.5" thickBot="1" x14ac:dyDescent="0.35">
      <c r="A23" s="473" t="s">
        <v>22</v>
      </c>
      <c r="B23" s="137" t="s">
        <v>356</v>
      </c>
      <c r="C23" s="215">
        <v>2.4</v>
      </c>
      <c r="D23" s="96">
        <f t="shared" si="0"/>
        <v>0.41666666666666669</v>
      </c>
    </row>
    <row r="24" spans="1:4" ht="13.5" thickBot="1" x14ac:dyDescent="0.35">
      <c r="A24" s="474"/>
      <c r="B24" s="137" t="s">
        <v>357</v>
      </c>
      <c r="C24" s="215">
        <v>0.9</v>
      </c>
      <c r="D24" s="96">
        <f t="shared" si="0"/>
        <v>1.1111111111111112</v>
      </c>
    </row>
    <row r="25" spans="1:4" ht="13.5" thickBot="1" x14ac:dyDescent="0.35">
      <c r="A25" s="471" t="s">
        <v>6</v>
      </c>
      <c r="B25" s="471"/>
      <c r="C25" s="215">
        <v>1.63</v>
      </c>
      <c r="D25" s="96">
        <f t="shared" si="0"/>
        <v>0.61349693251533743</v>
      </c>
    </row>
    <row r="26" spans="1:4" ht="13.5" thickBot="1" x14ac:dyDescent="0.35">
      <c r="A26" s="471" t="s">
        <v>23</v>
      </c>
      <c r="B26" s="471"/>
      <c r="C26" s="215">
        <v>1.85</v>
      </c>
      <c r="D26" s="96">
        <f t="shared" si="0"/>
        <v>0.54054054054054046</v>
      </c>
    </row>
    <row r="27" spans="1:4" ht="13.5" thickBot="1" x14ac:dyDescent="0.35">
      <c r="A27" s="471" t="s">
        <v>358</v>
      </c>
      <c r="B27" s="471"/>
      <c r="C27" s="137">
        <v>0.02</v>
      </c>
    </row>
    <row r="28" spans="1:4" ht="13.5" thickBot="1" x14ac:dyDescent="0.35">
      <c r="A28" s="471" t="s">
        <v>359</v>
      </c>
      <c r="B28" s="471"/>
      <c r="C28" s="137" t="s">
        <v>360</v>
      </c>
    </row>
  </sheetData>
  <mergeCells count="7">
    <mergeCell ref="A28:B28"/>
    <mergeCell ref="A20:B20"/>
    <mergeCell ref="A21:A22"/>
    <mergeCell ref="A23:A24"/>
    <mergeCell ref="A25:B25"/>
    <mergeCell ref="A26:B26"/>
    <mergeCell ref="A27:B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40</vt:i4>
      </vt:variant>
    </vt:vector>
  </HeadingPairs>
  <TitlesOfParts>
    <vt:vector size="50" baseType="lpstr">
      <vt:lpstr>PONUDA</vt:lpstr>
      <vt:lpstr>IDENTIFIKACIJA</vt:lpstr>
      <vt:lpstr>GOSPODARSKI_PROGRAM</vt:lpstr>
      <vt:lpstr>PROGRAM_ZAKUP</vt:lpstr>
      <vt:lpstr>GOSPODARSKI POKAZATELJI</vt:lpstr>
      <vt:lpstr>BODOVI</vt:lpstr>
      <vt:lpstr>PRILOG</vt:lpstr>
      <vt:lpstr>POPISI</vt:lpstr>
      <vt:lpstr>ZAPOSL</vt:lpstr>
      <vt:lpstr>MEHANIZACIJA</vt:lpstr>
      <vt:lpstr>BILJNA</vt:lpstr>
      <vt:lpstr>cjelina_pocetna</vt:lpstr>
      <vt:lpstr>CVIJEĆE</vt:lpstr>
      <vt:lpstr>EKO</vt:lpstr>
      <vt:lpstr>FINANC</vt:lpstr>
      <vt:lpstr>FIZIČKA</vt:lpstr>
      <vt:lpstr>INT</vt:lpstr>
      <vt:lpstr>MEHANIZACIJA</vt:lpstr>
      <vt:lpstr>NOPVOZAPOSL</vt:lpstr>
      <vt:lpstr>OBJEKT</vt:lpstr>
      <vt:lpstr>OBJEKTI</vt:lpstr>
      <vt:lpstr>pocetna</vt:lpstr>
      <vt:lpstr>BODOVI!Podrucje_ispisa</vt:lpstr>
      <vt:lpstr>GOSPODARSKI_PROGRAM!Podrucje_ispisa</vt:lpstr>
      <vt:lpstr>IDENTIFIKACIJA!Podrucje_ispisa</vt:lpstr>
      <vt:lpstr>PONUDA!Podrucje_ispisa</vt:lpstr>
      <vt:lpstr>PROGRAM_ZAKUP!Podrucje_ispisa</vt:lpstr>
      <vt:lpstr>ponudena</vt:lpstr>
      <vt:lpstr>POVRĆE</vt:lpstr>
      <vt:lpstr>PRAVNA</vt:lpstr>
      <vt:lpstr>PRO_MAS</vt:lpstr>
      <vt:lpstr>PRO_POV</vt:lpstr>
      <vt:lpstr>PRO_STO</vt:lpstr>
      <vt:lpstr>PRO_VIN</vt:lpstr>
      <vt:lpstr>PRO_VOĆ</vt:lpstr>
      <vt:lpstr>PRODAJA</vt:lpstr>
      <vt:lpstr>sjemenarska</vt:lpstr>
      <vt:lpstr>SJEMENSKA</vt:lpstr>
      <vt:lpstr>snaga</vt:lpstr>
      <vt:lpstr>SPREMA</vt:lpstr>
      <vt:lpstr>STOČARSKA</vt:lpstr>
      <vt:lpstr>STOKA</vt:lpstr>
      <vt:lpstr>STROJ</vt:lpstr>
      <vt:lpstr>TRAJNI_NASAD</vt:lpstr>
      <vt:lpstr>UDALJENOST</vt:lpstr>
      <vt:lpstr>UNAPRIJEĐENJE</vt:lpstr>
      <vt:lpstr>vrsta</vt:lpstr>
      <vt:lpstr>ZAPOSLENI</vt:lpstr>
      <vt:lpstr>ZEMLJA</vt:lpstr>
      <vt:lpstr>ZEMLJIŠTE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GOSPODARSKI PROGRAM</dc:title>
  <dc:creator>Agencija za poljoprivredno zemljište RH</dc:creator>
  <cp:keywords>FINAL</cp:keywords>
  <cp:lastModifiedBy>Domagoj Pavic</cp:lastModifiedBy>
  <cp:lastPrinted>2013-11-11T08:27:45Z</cp:lastPrinted>
  <dcterms:created xsi:type="dcterms:W3CDTF">2012-06-28T06:40:44Z</dcterms:created>
  <dcterms:modified xsi:type="dcterms:W3CDTF">2018-02-19T15:53:38Z</dcterms:modified>
</cp:coreProperties>
</file>